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lip\Desktop\Shumee\Raporty\"/>
    </mc:Choice>
  </mc:AlternateContent>
  <xr:revisionPtr revIDLastSave="0" documentId="8_{6AB0BD4B-51D1-427F-81DD-AE032D5EF872}" xr6:coauthVersionLast="47" xr6:coauthVersionMax="47" xr10:uidLastSave="{00000000-0000-0000-0000-000000000000}"/>
  <bookViews>
    <workbookView xWindow="-120" yWindow="-120" windowWidth="29040" windowHeight="15840" tabRatio="869" activeTab="8" xr2:uid="{FA47E55C-D563-4B60-AE22-540F1C52F8EE}"/>
  </bookViews>
  <sheets>
    <sheet name="Dane wejsciowe" sheetId="12" r:id="rId1"/>
    <sheet name="Zamowienia" sheetId="11" r:id="rId2"/>
    <sheet name="Alza" sheetId="1" r:id="rId3"/>
    <sheet name="Mall" sheetId="2" r:id="rId4"/>
    <sheet name="Extrastore" sheetId="3" r:id="rId5"/>
    <sheet name="Joom" sheetId="4" r:id="rId6"/>
    <sheet name="Aukro" sheetId="5" r:id="rId7"/>
    <sheet name="Cancel rate" sheetId="6" r:id="rId8"/>
    <sheet name="Przewalutowanie" sheetId="7" r:id="rId9"/>
    <sheet name="Domkniete statusy" sheetId="8" r:id="rId10"/>
    <sheet name="Niedomknięte statusy" sheetId="9" r:id="rId11"/>
    <sheet name="Spolki" sheetId="10" r:id="rId12"/>
    <sheet name="Roboczy" sheetId="13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8" i="1"/>
  <c r="L3" i="1"/>
  <c r="AC15" i="2"/>
  <c r="Y12" i="2"/>
  <c r="Y9" i="2"/>
  <c r="Y6" i="2"/>
  <c r="Y3" i="2"/>
  <c r="N3" i="3"/>
  <c r="L3" i="4"/>
  <c r="J3" i="5"/>
  <c r="F4" i="5"/>
  <c r="H4" i="4"/>
  <c r="J4" i="3"/>
  <c r="Y16" i="2"/>
  <c r="AC11" i="2"/>
  <c r="AC8" i="2"/>
  <c r="AC5" i="2"/>
  <c r="AC2" i="2"/>
  <c r="H14" i="1"/>
  <c r="H9" i="1"/>
  <c r="H4" i="1"/>
  <c r="I2" i="5"/>
  <c r="K2" i="4"/>
  <c r="M2" i="3"/>
  <c r="AB1" i="2"/>
  <c r="K12" i="1"/>
  <c r="K7" i="1"/>
  <c r="K2" i="1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F31" i="3"/>
  <c r="E31" i="3"/>
  <c r="D31" i="3"/>
  <c r="C31" i="3"/>
  <c r="F30" i="3"/>
  <c r="E30" i="3"/>
  <c r="D30" i="3"/>
  <c r="C30" i="3"/>
  <c r="F29" i="3"/>
  <c r="E29" i="3"/>
  <c r="D29" i="3"/>
  <c r="C29" i="3"/>
  <c r="F28" i="3"/>
  <c r="E28" i="3"/>
  <c r="D28" i="3"/>
  <c r="C28" i="3"/>
  <c r="F27" i="3"/>
  <c r="E27" i="3"/>
  <c r="D27" i="3"/>
  <c r="C27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E5" i="3"/>
  <c r="D5" i="3"/>
  <c r="C5" i="3"/>
  <c r="F4" i="3"/>
  <c r="E4" i="3"/>
  <c r="D4" i="3"/>
  <c r="C4" i="3"/>
  <c r="F3" i="3"/>
  <c r="E3" i="3"/>
  <c r="D3" i="3"/>
  <c r="C3" i="3"/>
  <c r="F2" i="3"/>
  <c r="E2" i="3"/>
  <c r="D2" i="3"/>
  <c r="C2" i="3"/>
  <c r="P31" i="2"/>
  <c r="O31" i="2"/>
  <c r="L31" i="2"/>
  <c r="K31" i="2"/>
  <c r="H31" i="2"/>
  <c r="G31" i="2"/>
  <c r="D31" i="2"/>
  <c r="C31" i="2"/>
  <c r="P30" i="2"/>
  <c r="O30" i="2"/>
  <c r="L30" i="2"/>
  <c r="K30" i="2"/>
  <c r="H30" i="2"/>
  <c r="G30" i="2"/>
  <c r="D30" i="2"/>
  <c r="C30" i="2"/>
  <c r="P29" i="2"/>
  <c r="O29" i="2"/>
  <c r="L29" i="2"/>
  <c r="K29" i="2"/>
  <c r="H29" i="2"/>
  <c r="G29" i="2"/>
  <c r="D29" i="2"/>
  <c r="C29" i="2"/>
  <c r="P28" i="2"/>
  <c r="O28" i="2"/>
  <c r="L28" i="2"/>
  <c r="K28" i="2"/>
  <c r="H28" i="2"/>
  <c r="G28" i="2"/>
  <c r="D28" i="2"/>
  <c r="C28" i="2"/>
  <c r="P27" i="2"/>
  <c r="O27" i="2"/>
  <c r="L27" i="2"/>
  <c r="K27" i="2"/>
  <c r="H27" i="2"/>
  <c r="G27" i="2"/>
  <c r="D27" i="2"/>
  <c r="C27" i="2"/>
  <c r="P26" i="2"/>
  <c r="O26" i="2"/>
  <c r="L26" i="2"/>
  <c r="K26" i="2"/>
  <c r="H26" i="2"/>
  <c r="G26" i="2"/>
  <c r="D26" i="2"/>
  <c r="C26" i="2"/>
  <c r="P25" i="2"/>
  <c r="O25" i="2"/>
  <c r="L25" i="2"/>
  <c r="K25" i="2"/>
  <c r="H25" i="2"/>
  <c r="G25" i="2"/>
  <c r="D25" i="2"/>
  <c r="C25" i="2"/>
  <c r="P24" i="2"/>
  <c r="O24" i="2"/>
  <c r="L24" i="2"/>
  <c r="K24" i="2"/>
  <c r="H24" i="2"/>
  <c r="G24" i="2"/>
  <c r="D24" i="2"/>
  <c r="C24" i="2"/>
  <c r="P23" i="2"/>
  <c r="O23" i="2"/>
  <c r="L23" i="2"/>
  <c r="K23" i="2"/>
  <c r="H23" i="2"/>
  <c r="G23" i="2"/>
  <c r="D23" i="2"/>
  <c r="C23" i="2"/>
  <c r="P22" i="2"/>
  <c r="O22" i="2"/>
  <c r="L22" i="2"/>
  <c r="K22" i="2"/>
  <c r="H22" i="2"/>
  <c r="G22" i="2"/>
  <c r="D22" i="2"/>
  <c r="C22" i="2"/>
  <c r="P21" i="2"/>
  <c r="O21" i="2"/>
  <c r="L21" i="2"/>
  <c r="K21" i="2"/>
  <c r="H21" i="2"/>
  <c r="G21" i="2"/>
  <c r="D21" i="2"/>
  <c r="C21" i="2"/>
  <c r="P20" i="2"/>
  <c r="O20" i="2"/>
  <c r="L20" i="2"/>
  <c r="K20" i="2"/>
  <c r="H20" i="2"/>
  <c r="G20" i="2"/>
  <c r="D20" i="2"/>
  <c r="C20" i="2"/>
  <c r="P19" i="2"/>
  <c r="O19" i="2"/>
  <c r="L19" i="2"/>
  <c r="K19" i="2"/>
  <c r="H19" i="2"/>
  <c r="G19" i="2"/>
  <c r="D19" i="2"/>
  <c r="C19" i="2"/>
  <c r="P18" i="2"/>
  <c r="O18" i="2"/>
  <c r="L18" i="2"/>
  <c r="K18" i="2"/>
  <c r="H18" i="2"/>
  <c r="G18" i="2"/>
  <c r="D18" i="2"/>
  <c r="C18" i="2"/>
  <c r="P17" i="2"/>
  <c r="O17" i="2"/>
  <c r="L17" i="2"/>
  <c r="K17" i="2"/>
  <c r="H17" i="2"/>
  <c r="G17" i="2"/>
  <c r="D17" i="2"/>
  <c r="C17" i="2"/>
  <c r="P16" i="2"/>
  <c r="O16" i="2"/>
  <c r="L16" i="2"/>
  <c r="K16" i="2"/>
  <c r="H16" i="2"/>
  <c r="G16" i="2"/>
  <c r="D16" i="2"/>
  <c r="C16" i="2"/>
  <c r="P15" i="2"/>
  <c r="O15" i="2"/>
  <c r="L15" i="2"/>
  <c r="K15" i="2"/>
  <c r="H15" i="2"/>
  <c r="G15" i="2"/>
  <c r="D15" i="2"/>
  <c r="C15" i="2"/>
  <c r="P14" i="2"/>
  <c r="O14" i="2"/>
  <c r="L14" i="2"/>
  <c r="K14" i="2"/>
  <c r="H14" i="2"/>
  <c r="G14" i="2"/>
  <c r="D14" i="2"/>
  <c r="C14" i="2"/>
  <c r="P13" i="2"/>
  <c r="O13" i="2"/>
  <c r="L13" i="2"/>
  <c r="K13" i="2"/>
  <c r="H13" i="2"/>
  <c r="G13" i="2"/>
  <c r="D13" i="2"/>
  <c r="C13" i="2"/>
  <c r="P12" i="2"/>
  <c r="O12" i="2"/>
  <c r="L12" i="2"/>
  <c r="K12" i="2"/>
  <c r="H12" i="2"/>
  <c r="G12" i="2"/>
  <c r="D12" i="2"/>
  <c r="C12" i="2"/>
  <c r="P11" i="2"/>
  <c r="O11" i="2"/>
  <c r="L11" i="2"/>
  <c r="K11" i="2"/>
  <c r="H11" i="2"/>
  <c r="G11" i="2"/>
  <c r="D11" i="2"/>
  <c r="C11" i="2"/>
  <c r="P10" i="2"/>
  <c r="O10" i="2"/>
  <c r="L10" i="2"/>
  <c r="K10" i="2"/>
  <c r="H10" i="2"/>
  <c r="G10" i="2"/>
  <c r="D10" i="2"/>
  <c r="C10" i="2"/>
  <c r="P9" i="2"/>
  <c r="O9" i="2"/>
  <c r="L9" i="2"/>
  <c r="K9" i="2"/>
  <c r="H9" i="2"/>
  <c r="G9" i="2"/>
  <c r="D9" i="2"/>
  <c r="C9" i="2"/>
  <c r="P8" i="2"/>
  <c r="O8" i="2"/>
  <c r="L8" i="2"/>
  <c r="K8" i="2"/>
  <c r="H8" i="2"/>
  <c r="G8" i="2"/>
  <c r="D8" i="2"/>
  <c r="C8" i="2"/>
  <c r="P7" i="2"/>
  <c r="O7" i="2"/>
  <c r="L7" i="2"/>
  <c r="K7" i="2"/>
  <c r="H7" i="2"/>
  <c r="G7" i="2"/>
  <c r="D7" i="2"/>
  <c r="C7" i="2"/>
  <c r="P6" i="2"/>
  <c r="O6" i="2"/>
  <c r="L6" i="2"/>
  <c r="K6" i="2"/>
  <c r="H6" i="2"/>
  <c r="G6" i="2"/>
  <c r="D6" i="2"/>
  <c r="C6" i="2"/>
  <c r="P5" i="2"/>
  <c r="O5" i="2"/>
  <c r="L5" i="2"/>
  <c r="K5" i="2"/>
  <c r="H5" i="2"/>
  <c r="G5" i="2"/>
  <c r="D5" i="2"/>
  <c r="C5" i="2"/>
  <c r="P4" i="2"/>
  <c r="O4" i="2"/>
  <c r="L4" i="2"/>
  <c r="K4" i="2"/>
  <c r="H4" i="2"/>
  <c r="G4" i="2"/>
  <c r="D4" i="2"/>
  <c r="C4" i="2"/>
  <c r="P3" i="2"/>
  <c r="O3" i="2"/>
  <c r="L3" i="2"/>
  <c r="K3" i="2"/>
  <c r="H3" i="2"/>
  <c r="G3" i="2"/>
  <c r="D3" i="2"/>
  <c r="C3" i="2"/>
  <c r="P2" i="2"/>
  <c r="O2" i="2"/>
  <c r="L2" i="2"/>
  <c r="K2" i="2"/>
  <c r="H2" i="2"/>
  <c r="G2" i="2"/>
  <c r="D2" i="2"/>
  <c r="C2" i="2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N2" i="11"/>
  <c r="M2" i="11"/>
  <c r="L2" i="11"/>
  <c r="J2" i="11"/>
  <c r="I2" i="11"/>
  <c r="H2" i="11"/>
  <c r="G2" i="11"/>
  <c r="E2" i="11"/>
  <c r="F2" i="11" s="1"/>
  <c r="K2" i="11" s="1"/>
  <c r="D2" i="11"/>
  <c r="C2" i="11"/>
  <c r="O2" i="11" s="1"/>
  <c r="B2" i="11"/>
  <c r="B4" i="7"/>
  <c r="L38" i="6"/>
  <c r="K38" i="6"/>
  <c r="M38" i="6" s="1"/>
  <c r="J38" i="6"/>
  <c r="I38" i="6"/>
  <c r="H38" i="6"/>
  <c r="G38" i="6"/>
  <c r="F38" i="6"/>
  <c r="E38" i="6"/>
  <c r="D38" i="6"/>
  <c r="C38" i="6"/>
  <c r="N37" i="6"/>
  <c r="M37" i="6"/>
  <c r="N36" i="6"/>
  <c r="M36" i="6"/>
  <c r="M30" i="6"/>
  <c r="K30" i="6"/>
  <c r="J30" i="6"/>
  <c r="I30" i="6"/>
  <c r="H30" i="6"/>
  <c r="G30" i="6"/>
  <c r="F30" i="6"/>
  <c r="E30" i="6"/>
  <c r="D30" i="6"/>
  <c r="C30" i="6"/>
  <c r="N29" i="6"/>
  <c r="M29" i="6"/>
  <c r="M28" i="6"/>
  <c r="L28" i="6"/>
  <c r="L30" i="6" s="1"/>
  <c r="M22" i="6"/>
  <c r="L22" i="6"/>
  <c r="K22" i="6"/>
  <c r="J22" i="6"/>
  <c r="I22" i="6"/>
  <c r="H22" i="6"/>
  <c r="G22" i="6"/>
  <c r="F22" i="6"/>
  <c r="E22" i="6"/>
  <c r="C22" i="6"/>
  <c r="N21" i="6"/>
  <c r="M21" i="6"/>
  <c r="N20" i="6"/>
  <c r="M20" i="6"/>
  <c r="L14" i="6"/>
  <c r="J14" i="6"/>
  <c r="I14" i="6"/>
  <c r="H14" i="6"/>
  <c r="G14" i="6"/>
  <c r="F14" i="6"/>
  <c r="K14" i="6" s="1"/>
  <c r="E14" i="6"/>
  <c r="C14" i="6"/>
  <c r="N13" i="6"/>
  <c r="M13" i="6"/>
  <c r="N12" i="6"/>
  <c r="M12" i="6"/>
  <c r="O6" i="6"/>
  <c r="N6" i="6"/>
  <c r="N5" i="6"/>
  <c r="M5" i="6"/>
  <c r="O5" i="6" s="1"/>
  <c r="Y15" i="2"/>
  <c r="H3" i="1"/>
  <c r="M15" i="2" l="1"/>
  <c r="N15" i="2" s="1"/>
  <c r="E22" i="1"/>
  <c r="I10" i="2"/>
  <c r="J10" i="2" s="1"/>
  <c r="Q10" i="2"/>
  <c r="R10" i="2" s="1"/>
  <c r="E2" i="1"/>
  <c r="E7" i="1"/>
  <c r="E16" i="2"/>
  <c r="F16" i="2" s="1"/>
  <c r="G3" i="5"/>
  <c r="I4" i="5" s="1"/>
  <c r="N14" i="6"/>
  <c r="M14" i="6"/>
  <c r="E9" i="1"/>
  <c r="Q3" i="2"/>
  <c r="R3" i="2" s="1"/>
  <c r="I11" i="2"/>
  <c r="M12" i="2"/>
  <c r="N12" i="2" s="1"/>
  <c r="M13" i="2"/>
  <c r="N13" i="2" s="1"/>
  <c r="T2" i="2"/>
  <c r="S3" i="2"/>
  <c r="S9" i="2"/>
  <c r="M9" i="2"/>
  <c r="N9" i="2" s="1"/>
  <c r="Q12" i="2"/>
  <c r="R12" i="2" s="1"/>
  <c r="T14" i="2"/>
  <c r="T15" i="2"/>
  <c r="G4" i="3"/>
  <c r="E15" i="1"/>
  <c r="E23" i="1"/>
  <c r="E25" i="1"/>
  <c r="E27" i="1"/>
  <c r="E29" i="1"/>
  <c r="I2" i="2"/>
  <c r="Q2" i="2"/>
  <c r="E4" i="2"/>
  <c r="F4" i="2" s="1"/>
  <c r="E11" i="2"/>
  <c r="F11" i="2" s="1"/>
  <c r="I16" i="2"/>
  <c r="I17" i="2"/>
  <c r="Q17" i="2"/>
  <c r="R17" i="2" s="1"/>
  <c r="G4" i="5"/>
  <c r="H4" i="5" s="1"/>
  <c r="N28" i="6"/>
  <c r="I4" i="2"/>
  <c r="J4" i="2" s="1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I4" i="4"/>
  <c r="L4" i="4" s="1"/>
  <c r="M3" i="2"/>
  <c r="N3" i="2" s="1"/>
  <c r="Q4" i="2"/>
  <c r="R4" i="2" s="1"/>
  <c r="E8" i="1"/>
  <c r="E11" i="1"/>
  <c r="E28" i="1"/>
  <c r="E30" i="1"/>
  <c r="S2" i="2"/>
  <c r="M2" i="2"/>
  <c r="N2" i="2" s="1"/>
  <c r="S6" i="2"/>
  <c r="Q9" i="2"/>
  <c r="R9" i="2" s="1"/>
  <c r="E15" i="2"/>
  <c r="F15" i="2" s="1"/>
  <c r="M16" i="2"/>
  <c r="N16" i="2" s="1"/>
  <c r="E30" i="2"/>
  <c r="M30" i="2"/>
  <c r="N30" i="2" s="1"/>
  <c r="G2" i="3"/>
  <c r="G3" i="3"/>
  <c r="I3" i="4"/>
  <c r="I5" i="2"/>
  <c r="J5" i="2" s="1"/>
  <c r="Q5" i="2"/>
  <c r="R5" i="2" s="1"/>
  <c r="E7" i="2"/>
  <c r="F7" i="2" s="1"/>
  <c r="M7" i="2"/>
  <c r="N7" i="2" s="1"/>
  <c r="M8" i="2"/>
  <c r="N8" i="2" s="1"/>
  <c r="E12" i="2"/>
  <c r="F12" i="2" s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E14" i="1"/>
  <c r="E19" i="1"/>
  <c r="M4" i="2"/>
  <c r="N4" i="2" s="1"/>
  <c r="M5" i="2"/>
  <c r="N5" i="2" s="1"/>
  <c r="I7" i="2"/>
  <c r="J7" i="2" s="1"/>
  <c r="I8" i="2"/>
  <c r="J8" i="2" s="1"/>
  <c r="Q8" i="2"/>
  <c r="R8" i="2" s="1"/>
  <c r="S10" i="2"/>
  <c r="I12" i="2"/>
  <c r="J12" i="2" s="1"/>
  <c r="I15" i="2"/>
  <c r="J15" i="2" s="1"/>
  <c r="T3" i="2"/>
  <c r="S4" i="2"/>
  <c r="S5" i="2"/>
  <c r="Q29" i="2"/>
  <c r="R29" i="2" s="1"/>
  <c r="I30" i="2"/>
  <c r="J30" i="2" s="1"/>
  <c r="I31" i="2"/>
  <c r="J31" i="2" s="1"/>
  <c r="Q31" i="2"/>
  <c r="R31" i="2" s="1"/>
  <c r="S8" i="2"/>
  <c r="S11" i="2"/>
  <c r="T12" i="2"/>
  <c r="S13" i="2"/>
  <c r="E16" i="1"/>
  <c r="E20" i="1"/>
  <c r="T11" i="2"/>
  <c r="Q11" i="2"/>
  <c r="R11" i="2" s="1"/>
  <c r="T13" i="2"/>
  <c r="S14" i="2"/>
  <c r="T16" i="2"/>
  <c r="E6" i="1"/>
  <c r="E21" i="1"/>
  <c r="E26" i="1"/>
  <c r="S7" i="2"/>
  <c r="S12" i="2"/>
  <c r="E14" i="2"/>
  <c r="F14" i="2" s="1"/>
  <c r="M14" i="2"/>
  <c r="N14" i="2" s="1"/>
  <c r="J2" i="2"/>
  <c r="R2" i="2"/>
  <c r="E18" i="1"/>
  <c r="E3" i="2"/>
  <c r="F3" i="2" s="1"/>
  <c r="I3" i="2"/>
  <c r="J3" i="2" s="1"/>
  <c r="T4" i="2"/>
  <c r="E5" i="2"/>
  <c r="F5" i="2" s="1"/>
  <c r="T6" i="2"/>
  <c r="T7" i="2"/>
  <c r="E8" i="2"/>
  <c r="F8" i="2" s="1"/>
  <c r="T9" i="2"/>
  <c r="U9" i="2" s="1"/>
  <c r="E13" i="2"/>
  <c r="F13" i="2" s="1"/>
  <c r="I13" i="1"/>
  <c r="K14" i="1" s="1"/>
  <c r="E5" i="1"/>
  <c r="E13" i="1"/>
  <c r="E17" i="1"/>
  <c r="E24" i="1"/>
  <c r="E31" i="1"/>
  <c r="E2" i="2"/>
  <c r="E10" i="2"/>
  <c r="F10" i="2" s="1"/>
  <c r="J11" i="2"/>
  <c r="M11" i="2"/>
  <c r="N11" i="2" s="1"/>
  <c r="Q13" i="2"/>
  <c r="R13" i="2" s="1"/>
  <c r="I14" i="2"/>
  <c r="J14" i="2" s="1"/>
  <c r="E6" i="2"/>
  <c r="F6" i="2" s="1"/>
  <c r="I6" i="2"/>
  <c r="J6" i="2" s="1"/>
  <c r="M6" i="2"/>
  <c r="Q6" i="2"/>
  <c r="Q7" i="2"/>
  <c r="R7" i="2" s="1"/>
  <c r="E9" i="2"/>
  <c r="F9" i="2" s="1"/>
  <c r="I9" i="2"/>
  <c r="J9" i="2" s="1"/>
  <c r="Q16" i="2"/>
  <c r="R16" i="2" s="1"/>
  <c r="I9" i="1"/>
  <c r="L9" i="1" s="1"/>
  <c r="I8" i="1"/>
  <c r="K9" i="1" s="1"/>
  <c r="E10" i="1"/>
  <c r="E12" i="1"/>
  <c r="T5" i="2"/>
  <c r="T8" i="2"/>
  <c r="M10" i="2"/>
  <c r="N10" i="2" s="1"/>
  <c r="T10" i="2"/>
  <c r="I13" i="2"/>
  <c r="J13" i="2" s="1"/>
  <c r="Q14" i="2"/>
  <c r="R14" i="2" s="1"/>
  <c r="S15" i="2"/>
  <c r="U15" i="2" s="1"/>
  <c r="V15" i="2" s="1"/>
  <c r="Q15" i="2"/>
  <c r="R15" i="2" s="1"/>
  <c r="E18" i="2"/>
  <c r="F18" i="2" s="1"/>
  <c r="M18" i="2"/>
  <c r="N18" i="2" s="1"/>
  <c r="S18" i="2"/>
  <c r="I19" i="2"/>
  <c r="J19" i="2" s="1"/>
  <c r="Q19" i="2"/>
  <c r="R19" i="2" s="1"/>
  <c r="E20" i="2"/>
  <c r="F20" i="2" s="1"/>
  <c r="M20" i="2"/>
  <c r="N20" i="2" s="1"/>
  <c r="S20" i="2"/>
  <c r="I21" i="2"/>
  <c r="J21" i="2" s="1"/>
  <c r="Q21" i="2"/>
  <c r="R21" i="2" s="1"/>
  <c r="E22" i="2"/>
  <c r="F22" i="2" s="1"/>
  <c r="M22" i="2"/>
  <c r="N22" i="2" s="1"/>
  <c r="S22" i="2"/>
  <c r="I23" i="2"/>
  <c r="J23" i="2" s="1"/>
  <c r="Q23" i="2"/>
  <c r="R23" i="2" s="1"/>
  <c r="E24" i="2"/>
  <c r="F24" i="2" s="1"/>
  <c r="M24" i="2"/>
  <c r="N24" i="2" s="1"/>
  <c r="S24" i="2"/>
  <c r="I25" i="2"/>
  <c r="J25" i="2" s="1"/>
  <c r="Q25" i="2"/>
  <c r="R25" i="2" s="1"/>
  <c r="E26" i="2"/>
  <c r="F26" i="2" s="1"/>
  <c r="M26" i="2"/>
  <c r="N26" i="2" s="1"/>
  <c r="S26" i="2"/>
  <c r="I27" i="2"/>
  <c r="J27" i="2" s="1"/>
  <c r="Q27" i="2"/>
  <c r="R27" i="2" s="1"/>
  <c r="E28" i="2"/>
  <c r="F28" i="2" s="1"/>
  <c r="M28" i="2"/>
  <c r="N28" i="2" s="1"/>
  <c r="S28" i="2"/>
  <c r="I29" i="2"/>
  <c r="J29" i="2" s="1"/>
  <c r="S30" i="2"/>
  <c r="J17" i="2"/>
  <c r="T18" i="2"/>
  <c r="T20" i="2"/>
  <c r="T22" i="2"/>
  <c r="T24" i="2"/>
  <c r="T26" i="2"/>
  <c r="T28" i="2"/>
  <c r="F30" i="2"/>
  <c r="T30" i="2"/>
  <c r="S16" i="2"/>
  <c r="J16" i="2"/>
  <c r="E17" i="2"/>
  <c r="F17" i="2" s="1"/>
  <c r="M17" i="2"/>
  <c r="N17" i="2" s="1"/>
  <c r="S17" i="2"/>
  <c r="I18" i="2"/>
  <c r="J18" i="2" s="1"/>
  <c r="Q18" i="2"/>
  <c r="R18" i="2" s="1"/>
  <c r="E19" i="2"/>
  <c r="F19" i="2" s="1"/>
  <c r="M19" i="2"/>
  <c r="N19" i="2" s="1"/>
  <c r="S19" i="2"/>
  <c r="I20" i="2"/>
  <c r="J20" i="2" s="1"/>
  <c r="Q20" i="2"/>
  <c r="R20" i="2" s="1"/>
  <c r="E21" i="2"/>
  <c r="F21" i="2" s="1"/>
  <c r="M21" i="2"/>
  <c r="N21" i="2" s="1"/>
  <c r="S21" i="2"/>
  <c r="I22" i="2"/>
  <c r="J22" i="2" s="1"/>
  <c r="Q22" i="2"/>
  <c r="R22" i="2" s="1"/>
  <c r="E23" i="2"/>
  <c r="F23" i="2" s="1"/>
  <c r="M23" i="2"/>
  <c r="N23" i="2" s="1"/>
  <c r="S23" i="2"/>
  <c r="I24" i="2"/>
  <c r="J24" i="2" s="1"/>
  <c r="Q24" i="2"/>
  <c r="R24" i="2" s="1"/>
  <c r="E25" i="2"/>
  <c r="F25" i="2" s="1"/>
  <c r="M25" i="2"/>
  <c r="N25" i="2" s="1"/>
  <c r="S25" i="2"/>
  <c r="I26" i="2"/>
  <c r="J26" i="2" s="1"/>
  <c r="Q26" i="2"/>
  <c r="R26" i="2" s="1"/>
  <c r="E27" i="2"/>
  <c r="F27" i="2" s="1"/>
  <c r="M27" i="2"/>
  <c r="N27" i="2" s="1"/>
  <c r="S27" i="2"/>
  <c r="I28" i="2"/>
  <c r="J28" i="2" s="1"/>
  <c r="Q28" i="2"/>
  <c r="R28" i="2" s="1"/>
  <c r="E29" i="2"/>
  <c r="F29" i="2" s="1"/>
  <c r="M29" i="2"/>
  <c r="N29" i="2" s="1"/>
  <c r="S29" i="2"/>
  <c r="Q30" i="2"/>
  <c r="R30" i="2" s="1"/>
  <c r="E31" i="2"/>
  <c r="F31" i="2" s="1"/>
  <c r="M31" i="2"/>
  <c r="N31" i="2" s="1"/>
  <c r="S31" i="2"/>
  <c r="T17" i="2"/>
  <c r="T19" i="2"/>
  <c r="T21" i="2"/>
  <c r="T23" i="2"/>
  <c r="T25" i="2"/>
  <c r="T27" i="2"/>
  <c r="T29" i="2"/>
  <c r="T31" i="2"/>
  <c r="E4" i="1"/>
  <c r="I14" i="1"/>
  <c r="E3" i="1"/>
  <c r="U14" i="2" l="1"/>
  <c r="V14" i="2" s="1"/>
  <c r="U3" i="2"/>
  <c r="V3" i="2" s="1"/>
  <c r="J8" i="1"/>
  <c r="J13" i="1"/>
  <c r="J9" i="1"/>
  <c r="U11" i="2"/>
  <c r="V11" i="2" s="1"/>
  <c r="U2" i="2"/>
  <c r="V2" i="2" s="1"/>
  <c r="U7" i="2"/>
  <c r="V7" i="2" s="1"/>
  <c r="H3" i="5"/>
  <c r="U16" i="2"/>
  <c r="V16" i="2" s="1"/>
  <c r="U5" i="2"/>
  <c r="V5" i="2" s="1"/>
  <c r="U4" i="2"/>
  <c r="V4" i="2" s="1"/>
  <c r="U12" i="2"/>
  <c r="V12" i="2" s="1"/>
  <c r="U13" i="2"/>
  <c r="V13" i="2" s="1"/>
  <c r="K3" i="3"/>
  <c r="L3" i="3" s="1"/>
  <c r="K4" i="3"/>
  <c r="N4" i="3" s="1"/>
  <c r="J4" i="5"/>
  <c r="J4" i="4"/>
  <c r="K4" i="4"/>
  <c r="J3" i="4"/>
  <c r="Z8" i="2"/>
  <c r="AB9" i="2" s="1"/>
  <c r="Z12" i="2"/>
  <c r="AC12" i="2" s="1"/>
  <c r="I4" i="1"/>
  <c r="L4" i="1" s="1"/>
  <c r="U23" i="2"/>
  <c r="V23" i="2" s="1"/>
  <c r="U30" i="2"/>
  <c r="V30" i="2" s="1"/>
  <c r="U24" i="2"/>
  <c r="V24" i="2" s="1"/>
  <c r="U6" i="2"/>
  <c r="V6" i="2" s="1"/>
  <c r="R6" i="2"/>
  <c r="U8" i="2"/>
  <c r="V8" i="2" s="1"/>
  <c r="Z5" i="2"/>
  <c r="Z9" i="2"/>
  <c r="U31" i="2"/>
  <c r="V31" i="2" s="1"/>
  <c r="U29" i="2"/>
  <c r="V29" i="2" s="1"/>
  <c r="U21" i="2"/>
  <c r="V21" i="2" s="1"/>
  <c r="U22" i="2"/>
  <c r="V22" i="2" s="1"/>
  <c r="Z11" i="2"/>
  <c r="N6" i="2"/>
  <c r="U27" i="2"/>
  <c r="V27" i="2" s="1"/>
  <c r="U19" i="2"/>
  <c r="V19" i="2" s="1"/>
  <c r="U28" i="2"/>
  <c r="V28" i="2" s="1"/>
  <c r="U20" i="2"/>
  <c r="V20" i="2" s="1"/>
  <c r="U10" i="2"/>
  <c r="V10" i="2" s="1"/>
  <c r="U25" i="2"/>
  <c r="V25" i="2" s="1"/>
  <c r="U17" i="2"/>
  <c r="V17" i="2" s="1"/>
  <c r="U26" i="2"/>
  <c r="V26" i="2" s="1"/>
  <c r="U18" i="2"/>
  <c r="V18" i="2" s="1"/>
  <c r="Z3" i="2"/>
  <c r="Z2" i="2"/>
  <c r="F2" i="2"/>
  <c r="V9" i="2"/>
  <c r="Z6" i="2"/>
  <c r="I3" i="1"/>
  <c r="J14" i="1"/>
  <c r="L14" i="1"/>
  <c r="L4" i="3" l="1"/>
  <c r="M4" i="3"/>
  <c r="AA8" i="2"/>
  <c r="J4" i="1"/>
  <c r="AA12" i="2"/>
  <c r="AC9" i="2"/>
  <c r="AA9" i="2"/>
  <c r="AC6" i="2"/>
  <c r="AA6" i="2"/>
  <c r="Z15" i="2"/>
  <c r="AB3" i="2"/>
  <c r="AA2" i="2"/>
  <c r="AB6" i="2"/>
  <c r="AA5" i="2"/>
  <c r="Z16" i="2"/>
  <c r="AC3" i="2"/>
  <c r="AA3" i="2"/>
  <c r="AA11" i="2"/>
  <c r="AB12" i="2"/>
  <c r="K4" i="1"/>
  <c r="J3" i="1"/>
  <c r="AC16" i="2" l="1"/>
  <c r="AA16" i="2"/>
  <c r="AB16" i="2"/>
  <c r="AA15" i="2"/>
</calcChain>
</file>

<file path=xl/sharedStrings.xml><?xml version="1.0" encoding="utf-8"?>
<sst xmlns="http://schemas.openxmlformats.org/spreadsheetml/2006/main" count="504" uniqueCount="183">
  <si>
    <t>CZ</t>
  </si>
  <si>
    <t>SK</t>
  </si>
  <si>
    <t>Razem</t>
  </si>
  <si>
    <t>C</t>
  </si>
  <si>
    <t>Realizacja</t>
  </si>
  <si>
    <t>%</t>
  </si>
  <si>
    <t>P</t>
  </si>
  <si>
    <t>Plan całkowity</t>
  </si>
  <si>
    <t>S</t>
  </si>
  <si>
    <t>Plan dzienny</t>
  </si>
  <si>
    <t>N</t>
  </si>
  <si>
    <t>W</t>
  </si>
  <si>
    <t>Alza.cz</t>
  </si>
  <si>
    <t>Ś</t>
  </si>
  <si>
    <t>Alza.sk</t>
  </si>
  <si>
    <t>shumee cz</t>
  </si>
  <si>
    <t>greatstore cz</t>
  </si>
  <si>
    <t>cz total</t>
  </si>
  <si>
    <t>gs share</t>
  </si>
  <si>
    <t>shumee sk</t>
  </si>
  <si>
    <t>greatstore sk</t>
  </si>
  <si>
    <t>sk total</t>
  </si>
  <si>
    <t>shumee si</t>
  </si>
  <si>
    <t>greatstore si</t>
  </si>
  <si>
    <t>si total</t>
  </si>
  <si>
    <t>shumee hu</t>
  </si>
  <si>
    <t>greatstore hu</t>
  </si>
  <si>
    <t>hu total</t>
  </si>
  <si>
    <t>shumee total</t>
  </si>
  <si>
    <t>greatstore total</t>
  </si>
  <si>
    <t>total total</t>
  </si>
  <si>
    <t>Mall.cz</t>
  </si>
  <si>
    <t>Mall.sk</t>
  </si>
  <si>
    <t>Mall.si</t>
  </si>
  <si>
    <t>Mall.hu</t>
  </si>
  <si>
    <t>Mall</t>
  </si>
  <si>
    <t>SI</t>
  </si>
  <si>
    <t>HU</t>
  </si>
  <si>
    <t>Extrastore</t>
  </si>
  <si>
    <t>Joom</t>
  </si>
  <si>
    <t>Aukro</t>
  </si>
  <si>
    <t>ALZA</t>
  </si>
  <si>
    <t>orders</t>
  </si>
  <si>
    <t>auto cancelled</t>
  </si>
  <si>
    <t>out of stock</t>
  </si>
  <si>
    <t>error pricing</t>
  </si>
  <si>
    <t>by manufacturer</t>
  </si>
  <si>
    <t>delayed</t>
  </si>
  <si>
    <t>total</t>
  </si>
  <si>
    <t>rate</t>
  </si>
  <si>
    <t>waiting</t>
  </si>
  <si>
    <t>cancelled</t>
  </si>
  <si>
    <t>potential</t>
  </si>
  <si>
    <t>last 30 days</t>
  </si>
  <si>
    <t>month</t>
  </si>
  <si>
    <t>MALL CZ</t>
  </si>
  <si>
    <t>all cancelled</t>
  </si>
  <si>
    <t>all waiting</t>
  </si>
  <si>
    <t>potential rate</t>
  </si>
  <si>
    <t>mall panel</t>
  </si>
  <si>
    <t>shumee</t>
  </si>
  <si>
    <t>gs</t>
  </si>
  <si>
    <t>all</t>
  </si>
  <si>
    <t>MALL SK</t>
  </si>
  <si>
    <t>MALL SI</t>
  </si>
  <si>
    <t>MALL HU</t>
  </si>
  <si>
    <t>Waluta</t>
  </si>
  <si>
    <t>PLN</t>
  </si>
  <si>
    <t>EUR</t>
  </si>
  <si>
    <t>CZK</t>
  </si>
  <si>
    <t>HUF</t>
  </si>
  <si>
    <t>USD</t>
  </si>
  <si>
    <t>ZAMÓWIONE_SHUMEE</t>
  </si>
  <si>
    <t>ZAMÓWIONE_G_STORE</t>
  </si>
  <si>
    <t>Do wysylki Mall (Shipping)</t>
  </si>
  <si>
    <t>ZAMÓWIONE</t>
  </si>
  <si>
    <t>Do wysyłki ALZA(shipping)</t>
  </si>
  <si>
    <t>ZREALIZONE_GSTORE</t>
  </si>
  <si>
    <t>ZREALIZOWANE_SHUMEE</t>
  </si>
  <si>
    <t>Nowe Mall (open)</t>
  </si>
  <si>
    <t>Do wysyłki Mall Sh (Shipping)</t>
  </si>
  <si>
    <t>POBRANIE ZAMÓWIONE SHUMEE</t>
  </si>
  <si>
    <t>POBRZAMG</t>
  </si>
  <si>
    <t>POBRZAM</t>
  </si>
  <si>
    <t>Mall Sh Wysłane (shipped)</t>
  </si>
  <si>
    <t>ZREALIZOWANE</t>
  </si>
  <si>
    <t>Mall wyslane (shipped)</t>
  </si>
  <si>
    <t>TopSecret Zrealizowane</t>
  </si>
  <si>
    <t>proforma</t>
  </si>
  <si>
    <t>NOWE ZAMÓWIENIA</t>
  </si>
  <si>
    <t>Zrealizowane OUTLET GSTORE</t>
  </si>
  <si>
    <t>G-STORE_ZAMÓWIENIA</t>
  </si>
  <si>
    <t>POBRWYSLANE</t>
  </si>
  <si>
    <t>Bielsko-Biała Zamówiono</t>
  </si>
  <si>
    <t>POBRANIE WYSŁANE SHUMEE</t>
  </si>
  <si>
    <t>Wysłane ALZA (shipped)</t>
  </si>
  <si>
    <t>Bielsko-Biała Wysłano</t>
  </si>
  <si>
    <t>Nowe Mall Sh (open)</t>
  </si>
  <si>
    <t>Nowe ALZA (OPEN)</t>
  </si>
  <si>
    <t>GREAT NA SHUMEE</t>
  </si>
  <si>
    <t xml:space="preserve">TopSecret Nowe Zamówienie </t>
  </si>
  <si>
    <t>nowe mall pobraniowe</t>
  </si>
  <si>
    <t>Wysłane Mall (shipped)</t>
  </si>
  <si>
    <t>Dostarczone Mall (Delivered)</t>
  </si>
  <si>
    <t>Zalando Zamówione</t>
  </si>
  <si>
    <t>Zalando Nowe Zamówienia</t>
  </si>
  <si>
    <t>Zalando Wysłane</t>
  </si>
  <si>
    <t>OUTLET Nowe zamówienia</t>
  </si>
  <si>
    <t>Nowe Mall Ex (open)</t>
  </si>
  <si>
    <t>Do wysylki Mall Ex (Shipping)</t>
  </si>
  <si>
    <t>Dostarczone MallEx (Delivered)</t>
  </si>
  <si>
    <t>Wysłane Mall Ex (shipped)</t>
  </si>
  <si>
    <t>GREAT NA SHUMEE-MAGDA</t>
  </si>
  <si>
    <t>Dostarczone Mall Sh delivered</t>
  </si>
  <si>
    <t>Nowe zamówienie</t>
  </si>
  <si>
    <t>Status</t>
  </si>
  <si>
    <t>Anulowane ALZA (cancelled)</t>
  </si>
  <si>
    <t>Anulowane Mall (canceled)</t>
  </si>
  <si>
    <t>Anulowane Mall Sh (canceled)</t>
  </si>
  <si>
    <t>PROBLEM/brak wpłaty</t>
  </si>
  <si>
    <t>ANULOWANE</t>
  </si>
  <si>
    <t>POKOREKCIE_GSTORE_OBSŁUGA</t>
  </si>
  <si>
    <t>PO KOREKCIE_EXTRASTORE_OBSŁUGA</t>
  </si>
  <si>
    <t>BRAK WPŁATY</t>
  </si>
  <si>
    <t>W Ew.Zwr.Par.Fis_OBSŁUGA</t>
  </si>
  <si>
    <t>BRAK_WPLATY_GSTORE</t>
  </si>
  <si>
    <t>ZWROT_PRODUKT_SHUMEE</t>
  </si>
  <si>
    <t>ZWROT PRODUKTU</t>
  </si>
  <si>
    <t>ZWROT_PRODUKT_GSTORE</t>
  </si>
  <si>
    <t>Po korekcie_obsługa</t>
  </si>
  <si>
    <t>BRAK PRODUKTU</t>
  </si>
  <si>
    <t>PO KOREKCIE EXTRA_ZWR/REKLAM</t>
  </si>
  <si>
    <t>ANULOWANE_GSTORE</t>
  </si>
  <si>
    <t>BRAK_PROD_GSTORE</t>
  </si>
  <si>
    <t>Po korekcie_zwroty/reklamacje</t>
  </si>
  <si>
    <t>POKOREKCIE_GSTORE_ZWR I REKLAM</t>
  </si>
  <si>
    <t>PROBLEM/brak produktu</t>
  </si>
  <si>
    <t>W Ew.Zwr.Par.Fis_REKLAMACJE</t>
  </si>
  <si>
    <t>OUTLET Zwrot</t>
  </si>
  <si>
    <t>REKLAMACJE</t>
  </si>
  <si>
    <t>ZWROT HAJS MONIKA</t>
  </si>
  <si>
    <t>PO KOREKCIE_MONIKA_OBSŁUGA</t>
  </si>
  <si>
    <t>zwroty_hajs_shumee</t>
  </si>
  <si>
    <t>ZWROT PRODUKT</t>
  </si>
  <si>
    <t>REKLAM_GSTORE</t>
  </si>
  <si>
    <t>PO KOREKCIE_SUPERSTORE_OBSŁUGA</t>
  </si>
  <si>
    <t>PROBLEM/reklamacja</t>
  </si>
  <si>
    <t>odesłane do Vida</t>
  </si>
  <si>
    <t>ZWROT_HAJS_GSTORE</t>
  </si>
  <si>
    <t>PO KOREKCIE MONIKA_ZWR/REKLAM</t>
  </si>
  <si>
    <t>ZWROT HAJS EXTRA</t>
  </si>
  <si>
    <t>ZWROT HAJS SUPERSTORE</t>
  </si>
  <si>
    <t>ALZA Incorrect status</t>
  </si>
  <si>
    <t>TopSecret Błąd</t>
  </si>
  <si>
    <t>Zwrot Mall (returned)</t>
  </si>
  <si>
    <t>zwroty_hajs_zalando</t>
  </si>
  <si>
    <t>Anulowane Mall Ex (canceled)</t>
  </si>
  <si>
    <t>PROBLEM/opóźnione</t>
  </si>
  <si>
    <t>Zwrot Mall Ex (returned)</t>
  </si>
  <si>
    <t>Zwrot Alza (returned)</t>
  </si>
  <si>
    <t>DBM</t>
  </si>
  <si>
    <t>Darkowe Błedy Mlodosci</t>
  </si>
  <si>
    <t>Nieodebrane pobranie</t>
  </si>
  <si>
    <t>NOTY KREDYTOWE MALL</t>
  </si>
  <si>
    <t>Konto</t>
  </si>
  <si>
    <t>Alza</t>
  </si>
  <si>
    <t>Extra</t>
  </si>
  <si>
    <t>Greatstore</t>
  </si>
  <si>
    <t>Shumee</t>
  </si>
  <si>
    <t>Nr zamowienia</t>
  </si>
  <si>
    <t>Magazyn</t>
  </si>
  <si>
    <t>Domknieta/nie</t>
  </si>
  <si>
    <t>Koszt wysyłki</t>
  </si>
  <si>
    <t>Wartość zamówienia</t>
  </si>
  <si>
    <t>Data zamówienia</t>
  </si>
  <si>
    <t>Sklep</t>
  </si>
  <si>
    <t>SKU</t>
  </si>
  <si>
    <t>Przeliczenie na PLN</t>
  </si>
  <si>
    <t>Podzial</t>
  </si>
  <si>
    <t>Platforma</t>
  </si>
  <si>
    <t>Kraj dostawy</t>
  </si>
  <si>
    <t>Liczba dni w biezacym miesiacu</t>
  </si>
  <si>
    <t>Liczba dni w poprzednim miesiacu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</si>
</sst>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.0"/>
    <numFmt numFmtId="166" formatCode="0.0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0">
    <xf numFmtId="0" fontId="0" fillId="0" borderId="0" xfId="0"/>
    <xf numFmtId="14" fontId="0" fillId="0" borderId="0" xfId="0" applyNumberFormat="1"/>
    <xf numFmtId="14" fontId="3" fillId="2" borderId="1" xfId="0" applyNumberFormat="1" applyFont="1" applyFill="1" applyBorder="1" applyAlignment="1">
      <alignment horizontal="center" vertical="center"/>
    </xf>
    <xf numFmtId="44" fontId="0" fillId="0" borderId="0" xfId="0" applyNumberFormat="1"/>
    <xf numFmtId="16" fontId="3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44" fontId="0" fillId="0" borderId="0" xfId="2" applyNumberFormat="1" applyFont="1"/>
    <xf numFmtId="10" fontId="0" fillId="0" borderId="0" xfId="2" applyNumberFormat="1" applyFont="1"/>
    <xf numFmtId="164" fontId="0" fillId="0" borderId="0" xfId="0" applyNumberFormat="1"/>
    <xf numFmtId="16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4" fillId="0" borderId="0" xfId="0" applyNumberFormat="1" applyFont="1"/>
    <xf numFmtId="16" fontId="3" fillId="2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10" fontId="7" fillId="5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64" fontId="0" fillId="0" borderId="0" xfId="2" applyNumberFormat="1" applyFont="1"/>
    <xf numFmtId="8" fontId="0" fillId="0" borderId="0" xfId="0" applyNumberFormat="1"/>
    <xf numFmtId="14" fontId="8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49" fontId="1" fillId="0" borderId="0" xfId="3" applyNumberFormat="1"/>
    <xf numFmtId="0" fontId="1" fillId="0" borderId="0" xfId="3"/>
    <xf numFmtId="0" fontId="1" fillId="6" borderId="5" xfId="3" applyFill="1" applyBorder="1" applyAlignment="1">
      <alignment horizontal="center"/>
    </xf>
    <xf numFmtId="0" fontId="2" fillId="6" borderId="6" xfId="3" applyFont="1" applyFill="1" applyBorder="1" applyAlignment="1">
      <alignment horizontal="center" vertical="center" wrapText="1"/>
    </xf>
    <xf numFmtId="0" fontId="2" fillId="6" borderId="5" xfId="3" applyFont="1" applyFill="1" applyBorder="1" applyAlignment="1">
      <alignment horizontal="center" vertical="center" wrapText="1"/>
    </xf>
    <xf numFmtId="0" fontId="10" fillId="6" borderId="2" xfId="3" applyFont="1" applyFill="1" applyBorder="1" applyAlignment="1">
      <alignment horizontal="center" vertical="center"/>
    </xf>
    <xf numFmtId="0" fontId="10" fillId="6" borderId="4" xfId="3" applyFont="1" applyFill="1" applyBorder="1" applyAlignment="1">
      <alignment horizontal="center" vertical="center"/>
    </xf>
    <xf numFmtId="0" fontId="11" fillId="6" borderId="2" xfId="3" applyFont="1" applyFill="1" applyBorder="1" applyAlignment="1">
      <alignment horizontal="center" vertical="center"/>
    </xf>
    <xf numFmtId="0" fontId="11" fillId="6" borderId="4" xfId="3" applyFont="1" applyFill="1" applyBorder="1" applyAlignment="1">
      <alignment horizontal="center" vertical="center"/>
    </xf>
    <xf numFmtId="0" fontId="12" fillId="6" borderId="1" xfId="3" applyFont="1" applyFill="1" applyBorder="1" applyAlignment="1">
      <alignment horizontal="center" vertical="center"/>
    </xf>
    <xf numFmtId="0" fontId="13" fillId="6" borderId="2" xfId="3" applyFont="1" applyFill="1" applyBorder="1" applyAlignment="1">
      <alignment horizontal="center" vertical="center"/>
    </xf>
    <xf numFmtId="0" fontId="13" fillId="6" borderId="4" xfId="3" applyFont="1" applyFill="1" applyBorder="1" applyAlignment="1">
      <alignment horizontal="center" vertical="center"/>
    </xf>
    <xf numFmtId="0" fontId="13" fillId="6" borderId="2" xfId="3" applyFont="1" applyFill="1" applyBorder="1" applyAlignment="1">
      <alignment horizontal="center" vertical="center" wrapText="1"/>
    </xf>
    <xf numFmtId="0" fontId="13" fillId="6" borderId="4" xfId="3" applyFont="1" applyFill="1" applyBorder="1" applyAlignment="1">
      <alignment horizontal="center" vertical="center" wrapText="1"/>
    </xf>
    <xf numFmtId="0" fontId="1" fillId="6" borderId="7" xfId="3" applyFill="1" applyBorder="1" applyAlignment="1">
      <alignment horizontal="center"/>
    </xf>
    <xf numFmtId="0" fontId="2" fillId="6" borderId="8" xfId="3" applyFont="1" applyFill="1" applyBorder="1" applyAlignment="1">
      <alignment horizontal="center" vertical="center" wrapText="1"/>
    </xf>
    <xf numFmtId="0" fontId="2" fillId="6" borderId="7" xfId="3" applyFont="1" applyFill="1" applyBorder="1" applyAlignment="1">
      <alignment horizontal="center" vertical="center" wrapText="1"/>
    </xf>
    <xf numFmtId="0" fontId="1" fillId="6" borderId="1" xfId="3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 wrapText="1"/>
    </xf>
    <xf numFmtId="0" fontId="14" fillId="6" borderId="1" xfId="3" applyFont="1" applyFill="1" applyBorder="1"/>
    <xf numFmtId="0" fontId="10" fillId="6" borderId="1" xfId="0" applyFont="1" applyFill="1" applyBorder="1" applyAlignment="1">
      <alignment horizontal="center" vertical="center"/>
    </xf>
    <xf numFmtId="0" fontId="1" fillId="0" borderId="1" xfId="3" applyBorder="1"/>
    <xf numFmtId="0" fontId="2" fillId="0" borderId="1" xfId="3" applyFont="1" applyBorder="1"/>
    <xf numFmtId="0" fontId="14" fillId="0" borderId="1" xfId="3" applyFont="1" applyBorder="1"/>
    <xf numFmtId="2" fontId="10" fillId="0" borderId="1" xfId="4" applyNumberFormat="1" applyFont="1" applyFill="1" applyBorder="1"/>
    <xf numFmtId="2" fontId="1" fillId="0" borderId="1" xfId="3" applyNumberFormat="1" applyBorder="1" applyAlignment="1">
      <alignment wrapText="1"/>
    </xf>
    <xf numFmtId="0" fontId="2" fillId="0" borderId="0" xfId="3" applyFont="1"/>
    <xf numFmtId="0" fontId="14" fillId="0" borderId="0" xfId="3" applyFont="1"/>
    <xf numFmtId="165" fontId="1" fillId="0" borderId="0" xfId="3" applyNumberFormat="1" applyAlignment="1">
      <alignment wrapText="1"/>
    </xf>
    <xf numFmtId="0" fontId="15" fillId="6" borderId="1" xfId="3" applyFont="1" applyFill="1" applyBorder="1" applyAlignment="1">
      <alignment horizontal="center" vertical="center"/>
    </xf>
    <xf numFmtId="49" fontId="0" fillId="0" borderId="0" xfId="0" applyNumberFormat="1"/>
    <xf numFmtId="0" fontId="13" fillId="6" borderId="1" xfId="3" applyFont="1" applyFill="1" applyBorder="1" applyAlignment="1">
      <alignment horizontal="center" vertical="center"/>
    </xf>
    <xf numFmtId="0" fontId="2" fillId="6" borderId="1" xfId="3" applyFont="1" applyFill="1" applyBorder="1" applyAlignment="1">
      <alignment horizontal="center" vertical="center" wrapText="1"/>
    </xf>
    <xf numFmtId="0" fontId="10" fillId="6" borderId="1" xfId="3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0" fontId="13" fillId="6" borderId="1" xfId="3" applyFont="1" applyFill="1" applyBorder="1" applyAlignment="1">
      <alignment horizontal="center" vertical="center" wrapText="1"/>
    </xf>
    <xf numFmtId="49" fontId="16" fillId="0" borderId="0" xfId="3" applyNumberFormat="1" applyFont="1"/>
    <xf numFmtId="0" fontId="2" fillId="6" borderId="1" xfId="3" applyFont="1" applyFill="1" applyBorder="1"/>
    <xf numFmtId="2" fontId="10" fillId="0" borderId="1" xfId="4" applyNumberFormat="1" applyFont="1" applyBorder="1"/>
    <xf numFmtId="49" fontId="2" fillId="0" borderId="0" xfId="4" applyNumberFormat="1" applyFont="1" applyBorder="1"/>
    <xf numFmtId="0" fontId="15" fillId="6" borderId="2" xfId="3" applyFont="1" applyFill="1" applyBorder="1" applyAlignment="1">
      <alignment horizontal="center" vertical="center"/>
    </xf>
    <xf numFmtId="0" fontId="15" fillId="6" borderId="3" xfId="3" applyFont="1" applyFill="1" applyBorder="1" applyAlignment="1">
      <alignment horizontal="center" vertical="center"/>
    </xf>
    <xf numFmtId="0" fontId="15" fillId="6" borderId="4" xfId="3" applyFont="1" applyFill="1" applyBorder="1" applyAlignment="1">
      <alignment horizontal="center" vertical="center"/>
    </xf>
    <xf numFmtId="0" fontId="13" fillId="6" borderId="3" xfId="3" applyFont="1" applyFill="1" applyBorder="1" applyAlignment="1">
      <alignment horizontal="center" vertical="center" wrapText="1"/>
    </xf>
    <xf numFmtId="0" fontId="1" fillId="6" borderId="2" xfId="3" applyFill="1" applyBorder="1" applyAlignment="1">
      <alignment horizontal="center" vertical="center" wrapText="1"/>
    </xf>
    <xf numFmtId="0" fontId="1" fillId="0" borderId="2" xfId="3" applyBorder="1"/>
    <xf numFmtId="0" fontId="1" fillId="0" borderId="1" xfId="3" applyBorder="1" applyAlignment="1">
      <alignment horizontal="right"/>
    </xf>
    <xf numFmtId="0" fontId="15" fillId="6" borderId="1" xfId="3" applyFont="1" applyFill="1" applyBorder="1" applyAlignment="1">
      <alignment horizontal="center"/>
    </xf>
    <xf numFmtId="0" fontId="17" fillId="0" borderId="0" xfId="5"/>
    <xf numFmtId="166" fontId="0" fillId="0" borderId="0" xfId="0" applyNumberFormat="1"/>
    <xf numFmtId="0" fontId="0" fillId="0" borderId="0" xfId="0" quotePrefix="1"/>
  </cellXfs>
  <cellStyles count="6">
    <cellStyle name="Hiperłącze" xfId="5" builtinId="8"/>
    <cellStyle name="Normalny" xfId="0" builtinId="0"/>
    <cellStyle name="Normalny 3" xfId="3" xr:uid="{CDC04920-6EBF-4B36-90CA-0AC868ACA9B2}"/>
    <cellStyle name="Procentowy" xfId="2" builtinId="5"/>
    <cellStyle name="Procentowy 3" xfId="4" xr:uid="{7BF8BD44-1C0F-447E-B72E-016A39FF6158}"/>
    <cellStyle name="Walutowy" xfId="1" builtinId="4"/>
  </cellStyles>
  <dxfs count="3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Sprzedaż</a:t>
            </a:r>
            <a:r>
              <a:rPr lang="pl-PL" baseline="0"/>
              <a:t> Alza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[1]Alza!$A$2:$A$31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[1]Alza!$E$2:$E$31</c:f>
              <c:numCache>
                <c:formatCode>_("zł"* #,##0.00_);_("zł"* \(#,##0.00\);_("zł"* "-"??_);_(@_)</c:formatCode>
                <c:ptCount val="30"/>
                <c:pt idx="0">
                  <c:v>39106.528089887637</c:v>
                </c:pt>
                <c:pt idx="1">
                  <c:v>25612.387640449444</c:v>
                </c:pt>
                <c:pt idx="2">
                  <c:v>19355.15730337079</c:v>
                </c:pt>
                <c:pt idx="3">
                  <c:v>32621.205992509374</c:v>
                </c:pt>
                <c:pt idx="4">
                  <c:v>44943.361423220973</c:v>
                </c:pt>
                <c:pt idx="5">
                  <c:v>32376.563670411986</c:v>
                </c:pt>
                <c:pt idx="6">
                  <c:v>20737.61423220974</c:v>
                </c:pt>
                <c:pt idx="7">
                  <c:v>24689.325842696631</c:v>
                </c:pt>
                <c:pt idx="8">
                  <c:v>21820.024344569294</c:v>
                </c:pt>
                <c:pt idx="9">
                  <c:v>15025.576779026218</c:v>
                </c:pt>
                <c:pt idx="10">
                  <c:v>39750.565543071163</c:v>
                </c:pt>
                <c:pt idx="11">
                  <c:v>45513.876404494389</c:v>
                </c:pt>
                <c:pt idx="12">
                  <c:v>44480.956928838954</c:v>
                </c:pt>
                <c:pt idx="13">
                  <c:v>32613.902621722846</c:v>
                </c:pt>
                <c:pt idx="14">
                  <c:v>25799.556179775282</c:v>
                </c:pt>
                <c:pt idx="15">
                  <c:v>17022.921348314605</c:v>
                </c:pt>
                <c:pt idx="16">
                  <c:v>14685.902621722849</c:v>
                </c:pt>
                <c:pt idx="17">
                  <c:v>38786.915730337088</c:v>
                </c:pt>
                <c:pt idx="18">
                  <c:v>32613.756554307121</c:v>
                </c:pt>
                <c:pt idx="19">
                  <c:v>42395.440074906379</c:v>
                </c:pt>
                <c:pt idx="20">
                  <c:v>26150.559925093639</c:v>
                </c:pt>
                <c:pt idx="21">
                  <c:v>32410.62546816481</c:v>
                </c:pt>
                <c:pt idx="22">
                  <c:v>18284.702247191017</c:v>
                </c:pt>
                <c:pt idx="23">
                  <c:v>7450.559925093632</c:v>
                </c:pt>
                <c:pt idx="24">
                  <c:v>22539.168539325841</c:v>
                </c:pt>
                <c:pt idx="25">
                  <c:v>23513.818352059927</c:v>
                </c:pt>
                <c:pt idx="26">
                  <c:v>23986.067415730344</c:v>
                </c:pt>
                <c:pt idx="27">
                  <c:v>20991.655430711613</c:v>
                </c:pt>
                <c:pt idx="28">
                  <c:v>14552.514981273407</c:v>
                </c:pt>
                <c:pt idx="29">
                  <c:v>23407.631086142326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C-4090-A8A4-0E6D1A7A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2595888"/>
        <c:axId val="1832596848"/>
      </c:lineChart>
      <c:dateAx>
        <c:axId val="18325958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32596848"/>
        <c:crosses val="autoZero"/>
        <c:auto val="1"/>
        <c:lblOffset val="100"/>
        <c:baseTimeUnit val="days"/>
      </c:dateAx>
      <c:valAx>
        <c:axId val="183259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zł&quot;* #,##0.00_);_(&quot;zł&quot;* \(#,##0.00\);_(&quot;zł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3259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[1]Extrastore!$A$2:$A$31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[1]Extrastore!$G$2:$G$31</c:f>
              <c:numCache>
                <c:formatCode>_("zł"* #,##0.00_);_("zł"* \(#,##0.00\);_("zł"* "-"??_);_(@_)</c:formatCode>
                <c:ptCount val="30"/>
                <c:pt idx="0">
                  <c:v>1889.1161947565545</c:v>
                </c:pt>
                <c:pt idx="1">
                  <c:v>506.00399999999996</c:v>
                </c:pt>
                <c:pt idx="2">
                  <c:v>1379.9357640449439</c:v>
                </c:pt>
                <c:pt idx="3">
                  <c:v>1452.0483782771535</c:v>
                </c:pt>
                <c:pt idx="4">
                  <c:v>4981.3048951310866</c:v>
                </c:pt>
                <c:pt idx="5">
                  <c:v>4489.4835580524341</c:v>
                </c:pt>
                <c:pt idx="6">
                  <c:v>1308.1265917602998</c:v>
                </c:pt>
                <c:pt idx="7">
                  <c:v>1261.4232209737829</c:v>
                </c:pt>
                <c:pt idx="8">
                  <c:v>618.33308988764043</c:v>
                </c:pt>
                <c:pt idx="9">
                  <c:v>1251.1374644194757</c:v>
                </c:pt>
                <c:pt idx="10">
                  <c:v>747.56554307116107</c:v>
                </c:pt>
                <c:pt idx="11">
                  <c:v>5615.2050936329588</c:v>
                </c:pt>
                <c:pt idx="12">
                  <c:v>222.47191011235958</c:v>
                </c:pt>
                <c:pt idx="13">
                  <c:v>7215.4800000000005</c:v>
                </c:pt>
                <c:pt idx="14">
                  <c:v>383.76</c:v>
                </c:pt>
                <c:pt idx="15">
                  <c:v>353.37078651685397</c:v>
                </c:pt>
                <c:pt idx="16">
                  <c:v>1135.1737865168539</c:v>
                </c:pt>
                <c:pt idx="17">
                  <c:v>2653.2000000000003</c:v>
                </c:pt>
                <c:pt idx="18">
                  <c:v>659.32499999999993</c:v>
                </c:pt>
                <c:pt idx="19">
                  <c:v>2015.0056928838951</c:v>
                </c:pt>
                <c:pt idx="20">
                  <c:v>735.66583895131089</c:v>
                </c:pt>
                <c:pt idx="21">
                  <c:v>2873.2883895131085</c:v>
                </c:pt>
                <c:pt idx="22">
                  <c:v>1920.3119999999997</c:v>
                </c:pt>
                <c:pt idx="23">
                  <c:v>253.40397003745318</c:v>
                </c:pt>
                <c:pt idx="24">
                  <c:v>339.71999999999997</c:v>
                </c:pt>
                <c:pt idx="25">
                  <c:v>219.65579999999997</c:v>
                </c:pt>
                <c:pt idx="26">
                  <c:v>699.43799999999999</c:v>
                </c:pt>
                <c:pt idx="27">
                  <c:v>380.59071161048689</c:v>
                </c:pt>
                <c:pt idx="28">
                  <c:v>4592.4099250936333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6-42BA-AF2F-88246B7CA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045408"/>
        <c:axId val="774042048"/>
      </c:lineChart>
      <c:dateAx>
        <c:axId val="774045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74042048"/>
        <c:crosses val="autoZero"/>
        <c:auto val="1"/>
        <c:lblOffset val="100"/>
        <c:baseTimeUnit val="days"/>
      </c:dateAx>
      <c:valAx>
        <c:axId val="77404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zł&quot;* #,##0.00_);_(&quot;zł&quot;* \(#,##0.00\);_(&quot;zł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7404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487456</xdr:colOff>
      <xdr:row>0</xdr:row>
      <xdr:rowOff>17930</xdr:rowOff>
    </xdr:from>
    <xdr:to>
      <xdr:col>26</xdr:col>
      <xdr:colOff>414618</xdr:colOff>
      <xdr:row>18</xdr:row>
      <xdr:rowOff>33618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132CC5D4-8A6E-4485-A24C-D7E064A79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263337</xdr:colOff>
      <xdr:row>6</xdr:row>
      <xdr:rowOff>158002</xdr:rowOff>
    </xdr:from>
    <xdr:to>
      <xdr:col>23</xdr:col>
      <xdr:colOff>257735</xdr:colOff>
      <xdr:row>25</xdr:row>
      <xdr:rowOff>134470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308085C-F10A-41B5-AD34-4CC87E3F7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lip\Desktop\Podsumowanie%20sprzeda&#380;y%20Mall,%20Alza%2006.2023.xlsx" TargetMode="External"/><Relationship Id="rId1" Type="http://schemas.openxmlformats.org/officeDocument/2006/relationships/externalLinkPath" Target="/Users/filip/Desktop/Podsumowanie%20sprzeda&#380;y%20Mall,%20Alza%2006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 wejsciowe"/>
      <sheetName val="Zamowienia"/>
      <sheetName val="Alza"/>
      <sheetName val="Mall"/>
      <sheetName val="Extrastore"/>
      <sheetName val="Joom"/>
      <sheetName val="Aukro"/>
      <sheetName val="Listed products"/>
      <sheetName val="Cancel rate"/>
      <sheetName val="Przewalutowanie"/>
      <sheetName val="Domkniete statusy"/>
      <sheetName val="Niedomknięte statusy"/>
      <sheetName val="Spolki"/>
    </sheetNames>
    <sheetDataSet>
      <sheetData sheetId="0"/>
      <sheetData sheetId="1"/>
      <sheetData sheetId="2">
        <row r="2">
          <cell r="A2">
            <v>45078</v>
          </cell>
          <cell r="E2">
            <v>39106.528089887637</v>
          </cell>
        </row>
        <row r="3">
          <cell r="A3">
            <v>45079</v>
          </cell>
          <cell r="E3">
            <v>25612.387640449444</v>
          </cell>
        </row>
        <row r="4">
          <cell r="A4">
            <v>45080</v>
          </cell>
          <cell r="E4">
            <v>19355.15730337079</v>
          </cell>
        </row>
        <row r="5">
          <cell r="A5">
            <v>45081</v>
          </cell>
          <cell r="E5">
            <v>32621.205992509374</v>
          </cell>
        </row>
        <row r="6">
          <cell r="A6">
            <v>45082</v>
          </cell>
          <cell r="E6">
            <v>44943.361423220973</v>
          </cell>
        </row>
        <row r="7">
          <cell r="A7">
            <v>45083</v>
          </cell>
          <cell r="E7">
            <v>32376.563670411986</v>
          </cell>
        </row>
        <row r="8">
          <cell r="A8">
            <v>45084</v>
          </cell>
          <cell r="E8">
            <v>20737.61423220974</v>
          </cell>
        </row>
        <row r="9">
          <cell r="A9">
            <v>45085</v>
          </cell>
          <cell r="E9">
            <v>24689.325842696631</v>
          </cell>
        </row>
        <row r="10">
          <cell r="A10">
            <v>45086</v>
          </cell>
          <cell r="E10">
            <v>21820.024344569294</v>
          </cell>
        </row>
        <row r="11">
          <cell r="A11">
            <v>45087</v>
          </cell>
          <cell r="E11">
            <v>15025.576779026218</v>
          </cell>
        </row>
        <row r="12">
          <cell r="A12">
            <v>45088</v>
          </cell>
          <cell r="E12">
            <v>39750.565543071163</v>
          </cell>
        </row>
        <row r="13">
          <cell r="A13">
            <v>45089</v>
          </cell>
          <cell r="E13">
            <v>45513.876404494389</v>
          </cell>
        </row>
        <row r="14">
          <cell r="A14">
            <v>45090</v>
          </cell>
          <cell r="E14">
            <v>44480.956928838954</v>
          </cell>
        </row>
        <row r="15">
          <cell r="A15">
            <v>45091</v>
          </cell>
          <cell r="E15">
            <v>32613.902621722846</v>
          </cell>
        </row>
        <row r="16">
          <cell r="A16">
            <v>45092</v>
          </cell>
          <cell r="E16">
            <v>25799.556179775282</v>
          </cell>
        </row>
        <row r="17">
          <cell r="A17">
            <v>45093</v>
          </cell>
          <cell r="E17">
            <v>17022.921348314605</v>
          </cell>
        </row>
        <row r="18">
          <cell r="A18">
            <v>45094</v>
          </cell>
          <cell r="E18">
            <v>14685.902621722849</v>
          </cell>
        </row>
        <row r="19">
          <cell r="A19">
            <v>45095</v>
          </cell>
          <cell r="E19">
            <v>38786.915730337088</v>
          </cell>
        </row>
        <row r="20">
          <cell r="A20">
            <v>45096</v>
          </cell>
          <cell r="E20">
            <v>32613.756554307121</v>
          </cell>
        </row>
        <row r="21">
          <cell r="A21">
            <v>45097</v>
          </cell>
          <cell r="E21">
            <v>42395.440074906379</v>
          </cell>
        </row>
        <row r="22">
          <cell r="A22">
            <v>45098</v>
          </cell>
          <cell r="E22">
            <v>26150.559925093639</v>
          </cell>
        </row>
        <row r="23">
          <cell r="A23">
            <v>45099</v>
          </cell>
          <cell r="E23">
            <v>32410.62546816481</v>
          </cell>
        </row>
        <row r="24">
          <cell r="A24">
            <v>45100</v>
          </cell>
          <cell r="E24">
            <v>18284.702247191017</v>
          </cell>
        </row>
        <row r="25">
          <cell r="A25">
            <v>45101</v>
          </cell>
          <cell r="E25">
            <v>7450.559925093632</v>
          </cell>
        </row>
        <row r="26">
          <cell r="A26">
            <v>45102</v>
          </cell>
          <cell r="E26">
            <v>22539.168539325841</v>
          </cell>
        </row>
        <row r="27">
          <cell r="A27">
            <v>45103</v>
          </cell>
          <cell r="E27">
            <v>23513.818352059927</v>
          </cell>
        </row>
        <row r="28">
          <cell r="A28">
            <v>45104</v>
          </cell>
          <cell r="E28">
            <v>23986.067415730344</v>
          </cell>
        </row>
        <row r="29">
          <cell r="A29">
            <v>45105</v>
          </cell>
          <cell r="E29">
            <v>20991.655430711613</v>
          </cell>
        </row>
        <row r="30">
          <cell r="A30">
            <v>45106</v>
          </cell>
          <cell r="E30">
            <v>14552.514981273407</v>
          </cell>
        </row>
        <row r="31">
          <cell r="A31">
            <v>45107</v>
          </cell>
          <cell r="E31">
            <v>23407.631086142326</v>
          </cell>
        </row>
      </sheetData>
      <sheetData sheetId="3"/>
      <sheetData sheetId="4">
        <row r="2">
          <cell r="A2">
            <v>45078</v>
          </cell>
          <cell r="G2">
            <v>1889.1161947565545</v>
          </cell>
        </row>
        <row r="3">
          <cell r="A3">
            <v>45079</v>
          </cell>
          <cell r="G3">
            <v>506.00399999999996</v>
          </cell>
        </row>
        <row r="4">
          <cell r="A4">
            <v>45080</v>
          </cell>
          <cell r="G4">
            <v>1379.9357640449439</v>
          </cell>
        </row>
        <row r="5">
          <cell r="A5">
            <v>45081</v>
          </cell>
          <cell r="G5">
            <v>1452.0483782771535</v>
          </cell>
        </row>
        <row r="6">
          <cell r="A6">
            <v>45082</v>
          </cell>
          <cell r="G6">
            <v>4981.3048951310866</v>
          </cell>
        </row>
        <row r="7">
          <cell r="A7">
            <v>45083</v>
          </cell>
          <cell r="G7">
            <v>4489.4835580524341</v>
          </cell>
        </row>
        <row r="8">
          <cell r="A8">
            <v>45084</v>
          </cell>
          <cell r="G8">
            <v>1308.1265917602998</v>
          </cell>
        </row>
        <row r="9">
          <cell r="A9">
            <v>45085</v>
          </cell>
          <cell r="G9">
            <v>1261.4232209737829</v>
          </cell>
        </row>
        <row r="10">
          <cell r="A10">
            <v>45086</v>
          </cell>
          <cell r="G10">
            <v>618.33308988764043</v>
          </cell>
        </row>
        <row r="11">
          <cell r="A11">
            <v>45087</v>
          </cell>
          <cell r="G11">
            <v>1251.1374644194757</v>
          </cell>
        </row>
        <row r="12">
          <cell r="A12">
            <v>45088</v>
          </cell>
          <cell r="G12">
            <v>747.56554307116107</v>
          </cell>
        </row>
        <row r="13">
          <cell r="A13">
            <v>45089</v>
          </cell>
          <cell r="G13">
            <v>5615.2050936329588</v>
          </cell>
        </row>
        <row r="14">
          <cell r="A14">
            <v>45090</v>
          </cell>
          <cell r="G14">
            <v>222.47191011235958</v>
          </cell>
        </row>
        <row r="15">
          <cell r="A15">
            <v>45091</v>
          </cell>
          <cell r="G15">
            <v>7215.4800000000005</v>
          </cell>
        </row>
        <row r="16">
          <cell r="A16">
            <v>45092</v>
          </cell>
          <cell r="G16">
            <v>383.76</v>
          </cell>
        </row>
        <row r="17">
          <cell r="A17">
            <v>45093</v>
          </cell>
          <cell r="G17">
            <v>353.37078651685397</v>
          </cell>
        </row>
        <row r="18">
          <cell r="A18">
            <v>45094</v>
          </cell>
          <cell r="G18">
            <v>1135.1737865168539</v>
          </cell>
        </row>
        <row r="19">
          <cell r="A19">
            <v>45095</v>
          </cell>
          <cell r="G19">
            <v>2653.2000000000003</v>
          </cell>
        </row>
        <row r="20">
          <cell r="A20">
            <v>45096</v>
          </cell>
          <cell r="G20">
            <v>659.32499999999993</v>
          </cell>
        </row>
        <row r="21">
          <cell r="A21">
            <v>45097</v>
          </cell>
          <cell r="G21">
            <v>2015.0056928838951</v>
          </cell>
        </row>
        <row r="22">
          <cell r="A22">
            <v>45098</v>
          </cell>
          <cell r="G22">
            <v>735.66583895131089</v>
          </cell>
        </row>
        <row r="23">
          <cell r="A23">
            <v>45099</v>
          </cell>
          <cell r="G23">
            <v>2873.2883895131085</v>
          </cell>
        </row>
        <row r="24">
          <cell r="A24">
            <v>45100</v>
          </cell>
          <cell r="G24">
            <v>1920.3119999999997</v>
          </cell>
        </row>
        <row r="25">
          <cell r="A25">
            <v>45101</v>
          </cell>
          <cell r="G25">
            <v>253.40397003745318</v>
          </cell>
        </row>
        <row r="26">
          <cell r="A26">
            <v>45102</v>
          </cell>
          <cell r="G26">
            <v>339.71999999999997</v>
          </cell>
        </row>
        <row r="27">
          <cell r="A27">
            <v>45103</v>
          </cell>
          <cell r="G27">
            <v>219.65579999999997</v>
          </cell>
        </row>
        <row r="28">
          <cell r="A28">
            <v>45104</v>
          </cell>
          <cell r="G28">
            <v>699.43799999999999</v>
          </cell>
        </row>
        <row r="29">
          <cell r="A29">
            <v>45105</v>
          </cell>
          <cell r="G29">
            <v>380.59071161048689</v>
          </cell>
        </row>
        <row r="30">
          <cell r="A30">
            <v>45106</v>
          </cell>
          <cell r="G30">
            <v>4592.4099250936333</v>
          </cell>
        </row>
        <row r="31">
          <cell r="A31">
            <v>45107</v>
          </cell>
          <cell r="G3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71D6E-2618-4019-8295-47BB5307D495}">
  <dimension ref="A1"/>
  <sheetViews>
    <sheetView workbookViewId="0">
      <selection activeCell="E31" sqref="E31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CA569-C88A-4969-9095-D2D7261E3FB5}">
  <dimension ref="A1:A43"/>
  <sheetViews>
    <sheetView workbookViewId="0">
      <selection sqref="A1:A43"/>
    </sheetView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101</v>
      </c>
    </row>
    <row r="31" spans="1:1" x14ac:dyDescent="0.25">
      <c r="A31" t="s">
        <v>102</v>
      </c>
    </row>
    <row r="32" spans="1:1" x14ac:dyDescent="0.25">
      <c r="A32" t="s">
        <v>103</v>
      </c>
    </row>
    <row r="33" spans="1:1" x14ac:dyDescent="0.25">
      <c r="A33" t="s">
        <v>104</v>
      </c>
    </row>
    <row r="34" spans="1:1" x14ac:dyDescent="0.25">
      <c r="A34" t="s">
        <v>105</v>
      </c>
    </row>
    <row r="35" spans="1:1" x14ac:dyDescent="0.25">
      <c r="A35" t="s">
        <v>106</v>
      </c>
    </row>
    <row r="36" spans="1:1" x14ac:dyDescent="0.25">
      <c r="A36" t="s">
        <v>107</v>
      </c>
    </row>
    <row r="37" spans="1:1" x14ac:dyDescent="0.25">
      <c r="A37" t="s">
        <v>108</v>
      </c>
    </row>
    <row r="38" spans="1:1" x14ac:dyDescent="0.25">
      <c r="A38" t="s">
        <v>109</v>
      </c>
    </row>
    <row r="39" spans="1:1" x14ac:dyDescent="0.25">
      <c r="A39" t="s">
        <v>110</v>
      </c>
    </row>
    <row r="40" spans="1:1" x14ac:dyDescent="0.25">
      <c r="A40" t="s">
        <v>111</v>
      </c>
    </row>
    <row r="41" spans="1:1" x14ac:dyDescent="0.25">
      <c r="A41" t="s">
        <v>112</v>
      </c>
    </row>
    <row r="42" spans="1:1" x14ac:dyDescent="0.25">
      <c r="A42" t="s">
        <v>113</v>
      </c>
    </row>
    <row r="43" spans="1:1" x14ac:dyDescent="0.25">
      <c r="A43" t="s">
        <v>114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E7C2-ED15-4C96-8E07-315A1F63206E}">
  <dimension ref="A1:A49"/>
  <sheetViews>
    <sheetView workbookViewId="0">
      <selection activeCell="B1" sqref="B1:C1048576"/>
    </sheetView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  <row r="42" spans="1:1" x14ac:dyDescent="0.25">
      <c r="A42" t="s">
        <v>156</v>
      </c>
    </row>
    <row r="43" spans="1:1" x14ac:dyDescent="0.25">
      <c r="A43" t="s">
        <v>157</v>
      </c>
    </row>
    <row r="44" spans="1:1" x14ac:dyDescent="0.25">
      <c r="A44" t="s">
        <v>158</v>
      </c>
    </row>
    <row r="45" spans="1:1" x14ac:dyDescent="0.25">
      <c r="A45" t="s">
        <v>159</v>
      </c>
    </row>
    <row r="46" spans="1:1" x14ac:dyDescent="0.25">
      <c r="A46" t="s">
        <v>160</v>
      </c>
    </row>
    <row r="47" spans="1:1" x14ac:dyDescent="0.25">
      <c r="A47" t="s">
        <v>161</v>
      </c>
    </row>
    <row r="48" spans="1:1" x14ac:dyDescent="0.25">
      <c r="A48" t="s">
        <v>162</v>
      </c>
    </row>
    <row r="49" spans="1:1" x14ac:dyDescent="0.25">
      <c r="A49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5271-618A-4C59-8242-E852EDDE6739}">
  <dimension ref="A1:B24"/>
  <sheetViews>
    <sheetView workbookViewId="0">
      <selection activeCell="B14" sqref="B14"/>
    </sheetView>
  </sheetViews>
  <sheetFormatPr defaultRowHeight="15" x14ac:dyDescent="0.25"/>
  <cols>
    <col min="1" max="1" width="30.7109375" bestFit="1" customWidth="1"/>
    <col min="2" max="2" width="10.42578125" bestFit="1" customWidth="1"/>
  </cols>
  <sheetData>
    <row r="1" spans="1:2" x14ac:dyDescent="0.25">
      <c r="A1" t="s">
        <v>115</v>
      </c>
      <c r="B1" t="s">
        <v>164</v>
      </c>
    </row>
    <row r="2" spans="1:2" x14ac:dyDescent="0.25">
      <c r="A2" t="s">
        <v>76</v>
      </c>
      <c r="B2" t="s">
        <v>165</v>
      </c>
    </row>
    <row r="3" spans="1:2" x14ac:dyDescent="0.25">
      <c r="A3" t="s">
        <v>98</v>
      </c>
      <c r="B3" t="s">
        <v>165</v>
      </c>
    </row>
    <row r="4" spans="1:2" x14ac:dyDescent="0.25">
      <c r="A4" t="s">
        <v>95</v>
      </c>
      <c r="B4" t="s">
        <v>165</v>
      </c>
    </row>
    <row r="5" spans="1:2" x14ac:dyDescent="0.25">
      <c r="A5" t="s">
        <v>109</v>
      </c>
      <c r="B5" t="s">
        <v>166</v>
      </c>
    </row>
    <row r="6" spans="1:2" x14ac:dyDescent="0.25">
      <c r="A6" t="s">
        <v>111</v>
      </c>
      <c r="B6" t="s">
        <v>166</v>
      </c>
    </row>
    <row r="7" spans="1:2" x14ac:dyDescent="0.25">
      <c r="A7" t="s">
        <v>110</v>
      </c>
      <c r="B7" t="s">
        <v>166</v>
      </c>
    </row>
    <row r="8" spans="1:2" x14ac:dyDescent="0.25">
      <c r="A8" t="s">
        <v>108</v>
      </c>
      <c r="B8" t="s">
        <v>166</v>
      </c>
    </row>
    <row r="9" spans="1:2" x14ac:dyDescent="0.25">
      <c r="A9" t="s">
        <v>86</v>
      </c>
      <c r="B9" t="s">
        <v>167</v>
      </c>
    </row>
    <row r="10" spans="1:2" x14ac:dyDescent="0.25">
      <c r="A10" t="s">
        <v>74</v>
      </c>
      <c r="B10" t="s">
        <v>167</v>
      </c>
    </row>
    <row r="11" spans="1:2" x14ac:dyDescent="0.25">
      <c r="A11" t="s">
        <v>79</v>
      </c>
      <c r="B11" t="s">
        <v>167</v>
      </c>
    </row>
    <row r="12" spans="1:2" x14ac:dyDescent="0.25">
      <c r="A12" t="s">
        <v>84</v>
      </c>
      <c r="B12" t="s">
        <v>168</v>
      </c>
    </row>
    <row r="13" spans="1:2" x14ac:dyDescent="0.25">
      <c r="A13" t="s">
        <v>80</v>
      </c>
      <c r="B13" t="s">
        <v>168</v>
      </c>
    </row>
    <row r="14" spans="1:2" x14ac:dyDescent="0.25">
      <c r="A14" t="s">
        <v>97</v>
      </c>
      <c r="B14" t="s">
        <v>168</v>
      </c>
    </row>
    <row r="15" spans="1:2" x14ac:dyDescent="0.25">
      <c r="A15" t="s">
        <v>116</v>
      </c>
      <c r="B15" t="s">
        <v>165</v>
      </c>
    </row>
    <row r="16" spans="1:2" x14ac:dyDescent="0.25">
      <c r="A16" t="s">
        <v>117</v>
      </c>
      <c r="B16" t="s">
        <v>167</v>
      </c>
    </row>
    <row r="17" spans="1:2" x14ac:dyDescent="0.25">
      <c r="A17" t="s">
        <v>118</v>
      </c>
      <c r="B17" t="s">
        <v>168</v>
      </c>
    </row>
    <row r="18" spans="1:2" x14ac:dyDescent="0.25">
      <c r="A18" t="s">
        <v>78</v>
      </c>
      <c r="B18" t="s">
        <v>168</v>
      </c>
    </row>
    <row r="19" spans="1:2" x14ac:dyDescent="0.25">
      <c r="A19" t="s">
        <v>81</v>
      </c>
      <c r="B19" t="s">
        <v>168</v>
      </c>
    </row>
    <row r="20" spans="1:2" x14ac:dyDescent="0.25">
      <c r="A20" t="s">
        <v>156</v>
      </c>
      <c r="B20" t="s">
        <v>166</v>
      </c>
    </row>
    <row r="21" spans="1:2" x14ac:dyDescent="0.25">
      <c r="A21" t="s">
        <v>94</v>
      </c>
      <c r="B21" t="s">
        <v>168</v>
      </c>
    </row>
    <row r="22" spans="1:2" x14ac:dyDescent="0.25">
      <c r="A22" t="s">
        <v>126</v>
      </c>
      <c r="B22" t="s">
        <v>168</v>
      </c>
    </row>
    <row r="23" spans="1:2" x14ac:dyDescent="0.25">
      <c r="A23" t="s">
        <v>158</v>
      </c>
      <c r="B23" t="s">
        <v>166</v>
      </c>
    </row>
    <row r="24" spans="1:2" x14ac:dyDescent="0.25">
      <c r="A24" t="s">
        <v>159</v>
      </c>
      <c r="B24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E6E93-E874-41E7-81CA-3463DBAC866D}">
  <dimension ref="A1:B2"/>
  <sheetViews>
    <sheetView workbookViewId="0">
      <selection activeCell="B3" sqref="B3"/>
    </sheetView>
  </sheetViews>
  <sheetFormatPr defaultRowHeight="15" x14ac:dyDescent="0.25"/>
  <cols>
    <col min="1" max="1" width="31.7109375" bestFit="1" customWidth="1"/>
  </cols>
  <sheetData>
    <row r="1" spans="1:2" x14ac:dyDescent="0.25">
      <c r="A1" t="s">
        <v>181</v>
      </c>
      <c r="B1">
        <v>31</v>
      </c>
    </row>
    <row r="2" spans="1:2" x14ac:dyDescent="0.25">
      <c r="A2" t="s">
        <v>182</v>
      </c>
      <c r="B2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D810-BDDE-4013-93E2-70067D810BE6}">
  <dimension ref="A1:O2"/>
  <sheetViews>
    <sheetView workbookViewId="0">
      <selection activeCell="M15" sqref="M15"/>
    </sheetView>
  </sheetViews>
  <sheetFormatPr defaultRowHeight="15" x14ac:dyDescent="0.25"/>
  <cols>
    <col min="1" max="1" width="14.42578125" bestFit="1" customWidth="1"/>
    <col min="2" max="2" width="8.7109375" bestFit="1" customWidth="1"/>
    <col min="3" max="3" width="6.42578125" bestFit="1" customWidth="1"/>
    <col min="4" max="4" width="14.5703125" bestFit="1" customWidth="1"/>
    <col min="5" max="5" width="12.7109375" bestFit="1" customWidth="1"/>
    <col min="6" max="6" width="19.5703125" bestFit="1" customWidth="1"/>
    <col min="7" max="7" width="16.28515625" bestFit="1" customWidth="1"/>
    <col min="8" max="8" width="5.85546875" bestFit="1" customWidth="1"/>
    <col min="9" max="9" width="4.42578125" bestFit="1" customWidth="1"/>
    <col min="10" max="10" width="7.28515625" bestFit="1" customWidth="1"/>
    <col min="11" max="11" width="18.42578125" bestFit="1" customWidth="1"/>
    <col min="12" max="12" width="7.42578125" bestFit="1" customWidth="1"/>
    <col min="13" max="13" width="9.7109375" bestFit="1" customWidth="1"/>
    <col min="14" max="14" width="12.28515625" bestFit="1" customWidth="1"/>
  </cols>
  <sheetData>
    <row r="1" spans="1:15" x14ac:dyDescent="0.25">
      <c r="A1" t="s">
        <v>169</v>
      </c>
      <c r="B1" t="s">
        <v>170</v>
      </c>
      <c r="C1" t="s">
        <v>115</v>
      </c>
      <c r="D1" t="s">
        <v>171</v>
      </c>
      <c r="E1" t="s">
        <v>172</v>
      </c>
      <c r="F1" t="s">
        <v>173</v>
      </c>
      <c r="G1" s="1" t="s">
        <v>174</v>
      </c>
      <c r="H1" t="s">
        <v>175</v>
      </c>
      <c r="I1" t="s">
        <v>176</v>
      </c>
      <c r="J1" t="s">
        <v>66</v>
      </c>
      <c r="K1" t="s">
        <v>177</v>
      </c>
      <c r="L1" t="s">
        <v>178</v>
      </c>
      <c r="M1" t="s">
        <v>179</v>
      </c>
      <c r="N1" t="s">
        <v>180</v>
      </c>
    </row>
    <row r="2" spans="1:15" x14ac:dyDescent="0.25">
      <c r="B2" t="e">
        <f>VLOOKUP(A2,'Dane wejsciowe'!$A$2:$T$1048576,18,0)</f>
        <v>#N/A</v>
      </c>
      <c r="C2" t="e">
        <f>VLOOKUP($A2,'Dane wejsciowe'!$A$2:$T$1048576,17,0)</f>
        <v>#N/A</v>
      </c>
      <c r="D2" t="e">
        <f>VLOOKUP($A2,'Dane wejsciowe'!$A$2:$T$1048576,19,0)</f>
        <v>#N/A</v>
      </c>
      <c r="E2" t="e">
        <f>VLOOKUP(A2,'Dane wejsciowe'!$A$2:$N$1048576,14,0)</f>
        <v>#N/A</v>
      </c>
      <c r="F2" t="e">
        <f>SUMIF('Dane wejsciowe'!$A$2:$A$1048576,Zamowienia!A2,'Dane wejsciowe'!$U$2:$U$1048576)+E2</f>
        <v>#N/A</v>
      </c>
      <c r="G2" s="1" t="e">
        <f>VLOOKUP(A2,'Dane wejsciowe'!A:B,2,0)</f>
        <v>#N/A</v>
      </c>
      <c r="H2" s="1" t="e">
        <f>VLOOKUP(A2,'Dane wejsciowe'!$A$2:$N$1048576,3,0)</f>
        <v>#N/A</v>
      </c>
      <c r="I2" t="e">
        <f>VLOOKUP(A2,'Dane wejsciowe'!$A:$I,9,0)</f>
        <v>#N/A</v>
      </c>
      <c r="J2" t="e">
        <f>VLOOKUP(A2,'Dane wejsciowe'!$A:$M,13,0)</f>
        <v>#N/A</v>
      </c>
      <c r="K2" t="e">
        <f>F2*VLOOKUP(J2,Przewalutowanie!$A:$B,2,0)</f>
        <v>#N/A</v>
      </c>
      <c r="L2" s="1" t="e">
        <f>IF(VLOOKUP($A2,'Dane wejsciowe'!$A$2:$N$1048576,4,0)="osobiście/tel.",VLOOKUP($A2,'Dane wejsciowe'!$A$2:$N$1048576,7,0),VLOOKUP($A2,'Dane wejsciowe'!$A$2:$N$1048576,4,0))</f>
        <v>#N/A</v>
      </c>
      <c r="M2" t="e">
        <f>VLOOKUP(A2,'Dane wejsciowe'!A:D,4,FALSE)</f>
        <v>#N/A</v>
      </c>
      <c r="N2" t="e">
        <f>VLOOKUP(A2,'Dane wejsciowe'!$A:$F,6,0)</f>
        <v>#N/A</v>
      </c>
      <c r="O2" t="e">
        <f>_xlfn.IFNA(VLOOKUP(C2,Spolki!A:B,2,0),IF(N2="węgry","Shumee","Inne"))</f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E7F6A-8AAB-446E-8940-D71F5D2B8706}">
  <dimension ref="A1:Y32"/>
  <sheetViews>
    <sheetView workbookViewId="0">
      <selection activeCell="K17" sqref="K17"/>
    </sheetView>
  </sheetViews>
  <sheetFormatPr defaultRowHeight="15" x14ac:dyDescent="0.25"/>
  <cols>
    <col min="1" max="1" width="19" style="1" customWidth="1"/>
    <col min="3" max="3" width="13.140625" style="3" bestFit="1" customWidth="1"/>
    <col min="4" max="4" width="13.140625" bestFit="1" customWidth="1"/>
    <col min="5" max="5" width="13.7109375" bestFit="1" customWidth="1"/>
    <col min="6" max="6" width="13.5703125" customWidth="1"/>
    <col min="7" max="7" width="13.85546875" bestFit="1" customWidth="1"/>
    <col min="8" max="8" width="15.7109375" bestFit="1" customWidth="1"/>
    <col min="9" max="9" width="17.42578125" customWidth="1"/>
    <col min="11" max="11" width="18.42578125" customWidth="1"/>
    <col min="12" max="12" width="11.85546875" bestFit="1" customWidth="1"/>
  </cols>
  <sheetData>
    <row r="1" spans="1:25" ht="18.75" x14ac:dyDescent="0.25">
      <c r="C1" s="2" t="s">
        <v>0</v>
      </c>
      <c r="D1" s="2" t="s">
        <v>1</v>
      </c>
      <c r="E1" s="2" t="s">
        <v>2</v>
      </c>
      <c r="F1" s="3"/>
    </row>
    <row r="2" spans="1:25" ht="18.75" x14ac:dyDescent="0.25">
      <c r="A2" s="2">
        <v>45108</v>
      </c>
      <c r="B2" s="9" t="s">
        <v>8</v>
      </c>
      <c r="C2" s="3">
        <f ca="1">IF($A2/(TODAY()-1)&gt;1,"",SUMIFS(Zamowienia!$K:$K,Zamowienia!$M:$M,"Osobiście/tel.",Zamowienia!$L:$L,"alza.cz*",Zamowienia!$D:$D,"1",Zamowienia!$G:$G,A2,Zamowienia!$N:$N,"Czechy"))</f>
        <v>0</v>
      </c>
      <c r="D2" s="3">
        <f ca="1">IF($A2/(TODAY()-1)&gt;1,"",SUMIFS(Zamowienia!$K:$K,Zamowienia!$M:$M,"Osobiście/tel.",Zamowienia!$L:$L,"alza.cz*",Zamowienia!$D:$D,"1",Zamowienia!$G:$G,A2,Zamowienia!$N:$N,"Słowacja"))</f>
        <v>0</v>
      </c>
      <c r="E2" s="3">
        <f ca="1">IF($A2/(TODAY()-1)&gt;1,"",SUM(C2:D2))</f>
        <v>0</v>
      </c>
      <c r="F2" s="5"/>
      <c r="I2" t="s">
        <v>4</v>
      </c>
      <c r="J2" t="s">
        <v>5</v>
      </c>
      <c r="K2" t="str">
        <f ca="1">"Realizacja " &amp; TEXT(DATE(YEAR(TODAY()),MONTH(TODAY())-1,1),"MM.RRRR")</f>
        <v>Realizacja 06.2023</v>
      </c>
    </row>
    <row r="3" spans="1:25" ht="18.75" x14ac:dyDescent="0.25">
      <c r="A3" s="2">
        <v>45109</v>
      </c>
      <c r="B3" s="9" t="s">
        <v>10</v>
      </c>
      <c r="C3" s="3">
        <f ca="1">IF($A3/(TODAY()-1)&gt;1,"",SUMIFS(Zamowienia!$K:$K,Zamowienia!$M:$M,"Osobiście/tel.",Zamowienia!$L:$L,"alza.cz*",Zamowienia!$D:$D,"1",Zamowienia!$G:$G,A3,Zamowienia!$N:$N,"Czechy"))</f>
        <v>0</v>
      </c>
      <c r="D3" s="3">
        <f ca="1">IF($A3/(TODAY()-1)&gt;1,"",SUMIFS(Zamowienia!$K:$K,Zamowienia!$M:$M,"Osobiście/tel.",Zamowienia!$L:$L,"alza.cz*",Zamowienia!$D:$D,"1",Zamowienia!$G:$G,A3,Zamowienia!$N:$N,"Słowacja"))</f>
        <v>0</v>
      </c>
      <c r="E3" s="3">
        <f t="shared" ref="E3:E31" ca="1" si="0">IF($A3/(TODAY()-1)&gt;1,"",SUM(C3:D3))</f>
        <v>0</v>
      </c>
      <c r="F3" s="5"/>
      <c r="G3" t="s">
        <v>7</v>
      </c>
      <c r="H3" s="6">
        <f>H8+H13</f>
        <v>1350000</v>
      </c>
      <c r="I3" s="6">
        <f ca="1">SUM(E2:E31)</f>
        <v>0</v>
      </c>
      <c r="J3" s="7">
        <f ca="1">I3/H3</f>
        <v>0</v>
      </c>
      <c r="K3" s="8">
        <v>823238.84269662923</v>
      </c>
      <c r="L3" s="8">
        <f>K3/Roboczy!$B$2</f>
        <v>27441.294756554307</v>
      </c>
      <c r="Y3" s="7"/>
    </row>
    <row r="4" spans="1:25" ht="18.75" x14ac:dyDescent="0.25">
      <c r="A4" s="2">
        <v>45110</v>
      </c>
      <c r="B4" s="10" t="s">
        <v>6</v>
      </c>
      <c r="C4" s="3" t="str">
        <f ca="1">IF($A4/(TODAY()-1)&gt;1,"",SUMIFS(Zamowienia!$K:$K,Zamowienia!$M:$M,"Osobiście/tel.",Zamowienia!$L:$L,"alza.cz*",Zamowienia!$D:$D,"1",Zamowienia!$G:$G,A4,Zamowienia!$N:$N,"Czechy"))</f>
        <v/>
      </c>
      <c r="D4" s="3" t="str">
        <f ca="1">IF($A4/(TODAY()-1)&gt;1,"",SUMIFS(Zamowienia!$K:$K,Zamowienia!$M:$M,"Osobiście/tel.",Zamowienia!$L:$L,"alza.cz*",Zamowienia!$D:$D,"1",Zamowienia!$G:$G,A4,Zamowienia!$N:$N,"Słowacja"))</f>
        <v/>
      </c>
      <c r="E4" s="3" t="str">
        <f t="shared" ca="1" si="0"/>
        <v/>
      </c>
      <c r="F4" s="5"/>
      <c r="G4" t="s">
        <v>9</v>
      </c>
      <c r="H4" s="6">
        <f>H3/Roboczy!$B$1</f>
        <v>43548.387096774197</v>
      </c>
      <c r="I4" s="3">
        <f ca="1">AVERAGE(E:E)</f>
        <v>0</v>
      </c>
      <c r="J4" s="7">
        <f ca="1">I4/H4</f>
        <v>0</v>
      </c>
      <c r="K4" s="8">
        <f ca="1">I3-K3</f>
        <v>-823238.84269662923</v>
      </c>
      <c r="L4" s="7">
        <f ca="1">I4/L3-1</f>
        <v>-1</v>
      </c>
      <c r="Y4" s="7"/>
    </row>
    <row r="5" spans="1:25" ht="18.75" x14ac:dyDescent="0.25">
      <c r="A5" s="2">
        <v>45111</v>
      </c>
      <c r="B5" s="4" t="s">
        <v>11</v>
      </c>
      <c r="C5" s="3" t="str">
        <f ca="1">IF($A5/(TODAY()-1)&gt;1,"",SUMIFS(Zamowienia!$K:$K,Zamowienia!$M:$M,"Osobiście/tel.",Zamowienia!$L:$L,"alza.cz*",Zamowienia!$D:$D,"1",Zamowienia!$G:$G,A5,Zamowienia!$N:$N,"Czechy"))</f>
        <v/>
      </c>
      <c r="D5" s="3" t="str">
        <f ca="1">IF($A5/(TODAY()-1)&gt;1,"",SUMIFS(Zamowienia!$K:$K,Zamowienia!$M:$M,"Osobiście/tel.",Zamowienia!$L:$L,"alza.cz*",Zamowienia!$D:$D,"1",Zamowienia!$G:$G,A5,Zamowienia!$N:$N,"Słowacja"))</f>
        <v/>
      </c>
      <c r="E5" s="3" t="str">
        <f t="shared" ca="1" si="0"/>
        <v/>
      </c>
      <c r="F5" s="5"/>
    </row>
    <row r="6" spans="1:25" ht="18.75" x14ac:dyDescent="0.25">
      <c r="A6" s="2">
        <v>45112</v>
      </c>
      <c r="B6" s="4" t="s">
        <v>13</v>
      </c>
      <c r="C6" s="3" t="str">
        <f ca="1">IF($A6/(TODAY()-1)&gt;1,"",SUMIFS(Zamowienia!$K:$K,Zamowienia!$M:$M,"Osobiście/tel.",Zamowienia!$L:$L,"alza.cz*",Zamowienia!$D:$D,"1",Zamowienia!$G:$G,A6,Zamowienia!$N:$N,"Czechy"))</f>
        <v/>
      </c>
      <c r="D6" s="3" t="str">
        <f ca="1">IF($A6/(TODAY()-1)&gt;1,"",SUMIFS(Zamowienia!$K:$K,Zamowienia!$M:$M,"Osobiście/tel.",Zamowienia!$L:$L,"alza.cz*",Zamowienia!$D:$D,"1",Zamowienia!$G:$G,A6,Zamowienia!$N:$N,"Słowacja"))</f>
        <v/>
      </c>
      <c r="E6" s="3" t="str">
        <f t="shared" ca="1" si="0"/>
        <v/>
      </c>
      <c r="F6" s="5"/>
    </row>
    <row r="7" spans="1:25" ht="18.75" x14ac:dyDescent="0.25">
      <c r="A7" s="2">
        <v>45113</v>
      </c>
      <c r="B7" s="4" t="s">
        <v>3</v>
      </c>
      <c r="C7" s="3" t="str">
        <f ca="1">IF($A7/(TODAY()-1)&gt;1,"",SUMIFS(Zamowienia!$K:$K,Zamowienia!$M:$M,"Osobiście/tel.",Zamowienia!$L:$L,"alza.cz*",Zamowienia!$D:$D,"1",Zamowienia!$G:$G,A7,Zamowienia!$N:$N,"Czechy"))</f>
        <v/>
      </c>
      <c r="D7" s="3" t="str">
        <f ca="1">IF($A7/(TODAY()-1)&gt;1,"",SUMIFS(Zamowienia!$K:$K,Zamowienia!$M:$M,"Osobiście/tel.",Zamowienia!$L:$L,"alza.cz*",Zamowienia!$D:$D,"1",Zamowienia!$G:$G,A7,Zamowienia!$N:$N,"Słowacja"))</f>
        <v/>
      </c>
      <c r="E7" s="3" t="str">
        <f t="shared" ca="1" si="0"/>
        <v/>
      </c>
      <c r="F7" s="5"/>
      <c r="G7" t="s">
        <v>12</v>
      </c>
      <c r="I7" t="s">
        <v>4</v>
      </c>
      <c r="J7" t="s">
        <v>5</v>
      </c>
      <c r="K7" t="str">
        <f ca="1">"Realizacja " &amp; TEXT(DATE(YEAR(TODAY()),MONTH(TODAY())-1,1),"MM.RRRR")</f>
        <v>Realizacja 06.2023</v>
      </c>
    </row>
    <row r="8" spans="1:25" ht="18.75" x14ac:dyDescent="0.25">
      <c r="A8" s="2">
        <v>45114</v>
      </c>
      <c r="B8" s="4" t="s">
        <v>6</v>
      </c>
      <c r="C8" s="3" t="str">
        <f ca="1">IF($A8/(TODAY()-1)&gt;1,"",SUMIFS(Zamowienia!$K:$K,Zamowienia!$M:$M,"Osobiście/tel.",Zamowienia!$L:$L,"alza.cz*",Zamowienia!$D:$D,"1",Zamowienia!$G:$G,A8,Zamowienia!$N:$N,"Czechy"))</f>
        <v/>
      </c>
      <c r="D8" s="3" t="str">
        <f ca="1">IF($A8/(TODAY()-1)&gt;1,"",SUMIFS(Zamowienia!$K:$K,Zamowienia!$M:$M,"Osobiście/tel.",Zamowienia!$L:$L,"alza.cz*",Zamowienia!$D:$D,"1",Zamowienia!$G:$G,A8,Zamowienia!$N:$N,"Słowacja"))</f>
        <v/>
      </c>
      <c r="E8" s="3" t="str">
        <f t="shared" ca="1" si="0"/>
        <v/>
      </c>
      <c r="F8" s="5"/>
      <c r="G8" t="s">
        <v>7</v>
      </c>
      <c r="H8" s="6">
        <v>1200000</v>
      </c>
      <c r="I8" s="6">
        <f ca="1">SUM(C2:C31)</f>
        <v>0</v>
      </c>
      <c r="J8" s="7">
        <f ca="1">I8/H8</f>
        <v>0</v>
      </c>
      <c r="K8" s="8">
        <v>726950.69662921352</v>
      </c>
      <c r="L8" s="8">
        <f>K8/Roboczy!$B$2</f>
        <v>24231.689887640452</v>
      </c>
    </row>
    <row r="9" spans="1:25" ht="18.75" x14ac:dyDescent="0.25">
      <c r="A9" s="2">
        <v>45115</v>
      </c>
      <c r="B9" s="9" t="s">
        <v>8</v>
      </c>
      <c r="C9" s="3" t="str">
        <f ca="1">IF($A9/(TODAY()-1)&gt;1,"",SUMIFS(Zamowienia!$K:$K,Zamowienia!$M:$M,"Osobiście/tel.",Zamowienia!$L:$L,"alza.cz*",Zamowienia!$D:$D,"1",Zamowienia!$G:$G,A9,Zamowienia!$N:$N,"Czechy"))</f>
        <v/>
      </c>
      <c r="D9" s="3" t="str">
        <f ca="1">IF($A9/(TODAY()-1)&gt;1,"",SUMIFS(Zamowienia!$K:$K,Zamowienia!$M:$M,"Osobiście/tel.",Zamowienia!$L:$L,"alza.cz*",Zamowienia!$D:$D,"1",Zamowienia!$G:$G,A9,Zamowienia!$N:$N,"Słowacja"))</f>
        <v/>
      </c>
      <c r="E9" s="3" t="str">
        <f t="shared" ca="1" si="0"/>
        <v/>
      </c>
      <c r="F9" s="5"/>
      <c r="G9" t="s">
        <v>9</v>
      </c>
      <c r="H9" s="6">
        <f>H8/Roboczy!$B$1</f>
        <v>38709.677419354841</v>
      </c>
      <c r="I9" s="3">
        <f ca="1">AVERAGE(C:C)</f>
        <v>0</v>
      </c>
      <c r="J9" s="7">
        <f ca="1">I9/H9</f>
        <v>0</v>
      </c>
      <c r="K9" s="8">
        <f ca="1">I8-K8</f>
        <v>-726950.69662921352</v>
      </c>
      <c r="L9" s="7">
        <f ca="1">I9/L8-1</f>
        <v>-1</v>
      </c>
    </row>
    <row r="10" spans="1:25" ht="18.75" x14ac:dyDescent="0.25">
      <c r="A10" s="2">
        <v>45116</v>
      </c>
      <c r="B10" s="9" t="s">
        <v>10</v>
      </c>
      <c r="C10" s="3" t="str">
        <f ca="1">IF($A10/(TODAY()-1)&gt;1,"",SUMIFS(Zamowienia!$K:$K,Zamowienia!$M:$M,"Osobiście/tel.",Zamowienia!$L:$L,"alza.cz*",Zamowienia!$D:$D,"1",Zamowienia!$G:$G,A10,Zamowienia!$N:$N,"Czechy"))</f>
        <v/>
      </c>
      <c r="D10" s="3" t="str">
        <f ca="1">IF($A10/(TODAY()-1)&gt;1,"",SUMIFS(Zamowienia!$K:$K,Zamowienia!$M:$M,"Osobiście/tel.",Zamowienia!$L:$L,"alza.cz*",Zamowienia!$D:$D,"1",Zamowienia!$G:$G,A10,Zamowienia!$N:$N,"Słowacja"))</f>
        <v/>
      </c>
      <c r="E10" s="3" t="str">
        <f t="shared" ca="1" si="0"/>
        <v/>
      </c>
      <c r="F10" s="5"/>
    </row>
    <row r="11" spans="1:25" ht="18.75" x14ac:dyDescent="0.25">
      <c r="A11" s="2">
        <v>45117</v>
      </c>
      <c r="B11" s="10" t="s">
        <v>6</v>
      </c>
      <c r="C11" s="3" t="str">
        <f ca="1">IF($A11/(TODAY()-1)&gt;1,"",SUMIFS(Zamowienia!$K:$K,Zamowienia!$M:$M,"Osobiście/tel.",Zamowienia!$L:$L,"alza.cz*",Zamowienia!$D:$D,"1",Zamowienia!$G:$G,A11,Zamowienia!$N:$N,"Czechy"))</f>
        <v/>
      </c>
      <c r="D11" s="3" t="str">
        <f ca="1">IF($A11/(TODAY()-1)&gt;1,"",SUMIFS(Zamowienia!$K:$K,Zamowienia!$M:$M,"Osobiście/tel.",Zamowienia!$L:$L,"alza.cz*",Zamowienia!$D:$D,"1",Zamowienia!$G:$G,A11,Zamowienia!$N:$N,"Słowacja"))</f>
        <v/>
      </c>
      <c r="E11" s="3" t="str">
        <f t="shared" ca="1" si="0"/>
        <v/>
      </c>
      <c r="F11" s="5"/>
    </row>
    <row r="12" spans="1:25" ht="18.75" x14ac:dyDescent="0.25">
      <c r="A12" s="2">
        <v>45118</v>
      </c>
      <c r="B12" s="4" t="s">
        <v>11</v>
      </c>
      <c r="C12" s="3" t="str">
        <f ca="1">IF($A12/(TODAY()-1)&gt;1,"",SUMIFS(Zamowienia!$K:$K,Zamowienia!$M:$M,"Osobiście/tel.",Zamowienia!$L:$L,"alza.cz*",Zamowienia!$D:$D,"1",Zamowienia!$G:$G,A12,Zamowienia!$N:$N,"Czechy"))</f>
        <v/>
      </c>
      <c r="D12" s="3" t="str">
        <f ca="1">IF($A12/(TODAY()-1)&gt;1,"",SUMIFS(Zamowienia!$K:$K,Zamowienia!$M:$M,"Osobiście/tel.",Zamowienia!$L:$L,"alza.cz*",Zamowienia!$D:$D,"1",Zamowienia!$G:$G,A12,Zamowienia!$N:$N,"Słowacja"))</f>
        <v/>
      </c>
      <c r="E12" s="3" t="str">
        <f t="shared" ca="1" si="0"/>
        <v/>
      </c>
      <c r="F12" s="5"/>
      <c r="G12" t="s">
        <v>14</v>
      </c>
      <c r="I12" t="s">
        <v>4</v>
      </c>
      <c r="J12" t="s">
        <v>5</v>
      </c>
      <c r="K12" t="str">
        <f ca="1">"Realizacja " &amp; TEXT(DATE(YEAR(TODAY()),MONTH(TODAY())-1,1),"MM.RRRR")</f>
        <v>Realizacja 06.2023</v>
      </c>
    </row>
    <row r="13" spans="1:25" ht="18.75" x14ac:dyDescent="0.25">
      <c r="A13" s="2">
        <v>45119</v>
      </c>
      <c r="B13" s="4" t="s">
        <v>13</v>
      </c>
      <c r="C13" s="3" t="str">
        <f ca="1">IF($A13/(TODAY()-1)&gt;1,"",SUMIFS(Zamowienia!$K:$K,Zamowienia!$M:$M,"Osobiście/tel.",Zamowienia!$L:$L,"alza.cz*",Zamowienia!$D:$D,"1",Zamowienia!$G:$G,A13,Zamowienia!$N:$N,"Czechy"))</f>
        <v/>
      </c>
      <c r="D13" s="3" t="str">
        <f ca="1">IF($A13/(TODAY()-1)&gt;1,"",SUMIFS(Zamowienia!$K:$K,Zamowienia!$M:$M,"Osobiście/tel.",Zamowienia!$L:$L,"alza.cz*",Zamowienia!$D:$D,"1",Zamowienia!$G:$G,A13,Zamowienia!$N:$N,"Słowacja"))</f>
        <v/>
      </c>
      <c r="E13" s="3" t="str">
        <f t="shared" ca="1" si="0"/>
        <v/>
      </c>
      <c r="F13" s="5"/>
      <c r="G13" t="s">
        <v>7</v>
      </c>
      <c r="H13" s="6">
        <v>150000</v>
      </c>
      <c r="I13" s="6">
        <f ca="1">SUM(D2:D31)</f>
        <v>0</v>
      </c>
      <c r="J13" s="7">
        <f ca="1">I13/H13</f>
        <v>0</v>
      </c>
      <c r="K13" s="8">
        <v>96288.146067415742</v>
      </c>
      <c r="L13" s="8">
        <f>K13/Roboczy!$B$2</f>
        <v>3209.6048689138579</v>
      </c>
    </row>
    <row r="14" spans="1:25" ht="18.75" x14ac:dyDescent="0.25">
      <c r="A14" s="2">
        <v>45120</v>
      </c>
      <c r="B14" s="4" t="s">
        <v>3</v>
      </c>
      <c r="C14" s="3" t="str">
        <f ca="1">IF($A14/(TODAY()-1)&gt;1,"",SUMIFS(Zamowienia!$K:$K,Zamowienia!$M:$M,"Osobiście/tel.",Zamowienia!$L:$L,"alza.cz*",Zamowienia!$D:$D,"1",Zamowienia!$G:$G,A14,Zamowienia!$N:$N,"Czechy"))</f>
        <v/>
      </c>
      <c r="D14" s="3" t="str">
        <f ca="1">IF($A14/(TODAY()-1)&gt;1,"",SUMIFS(Zamowienia!$K:$K,Zamowienia!$M:$M,"Osobiście/tel.",Zamowienia!$L:$L,"alza.cz*",Zamowienia!$D:$D,"1",Zamowienia!$G:$G,A14,Zamowienia!$N:$N,"Słowacja"))</f>
        <v/>
      </c>
      <c r="E14" s="3" t="str">
        <f t="shared" ca="1" si="0"/>
        <v/>
      </c>
      <c r="F14" s="5"/>
      <c r="G14" t="s">
        <v>9</v>
      </c>
      <c r="H14" s="6">
        <f>H13/Roboczy!$B$1</f>
        <v>4838.7096774193551</v>
      </c>
      <c r="I14" s="3">
        <f ca="1">AVERAGE(D:D)</f>
        <v>0</v>
      </c>
      <c r="J14" s="7">
        <f ca="1">I14/H14</f>
        <v>0</v>
      </c>
      <c r="K14" s="8">
        <f ca="1">I13-K13</f>
        <v>-96288.146067415742</v>
      </c>
      <c r="L14" s="7">
        <f ca="1">I14/L13-1</f>
        <v>-1</v>
      </c>
    </row>
    <row r="15" spans="1:25" ht="18.75" x14ac:dyDescent="0.25">
      <c r="A15" s="2">
        <v>45121</v>
      </c>
      <c r="B15" s="4" t="s">
        <v>6</v>
      </c>
      <c r="C15" s="3" t="str">
        <f ca="1">IF($A15/(TODAY()-1)&gt;1,"",SUMIFS(Zamowienia!$K:$K,Zamowienia!$M:$M,"Osobiście/tel.",Zamowienia!$L:$L,"alza.cz*",Zamowienia!$D:$D,"1",Zamowienia!$G:$G,A15,Zamowienia!$N:$N,"Czechy"))</f>
        <v/>
      </c>
      <c r="D15" s="3" t="str">
        <f ca="1">IF($A15/(TODAY()-1)&gt;1,"",SUMIFS(Zamowienia!$K:$K,Zamowienia!$M:$M,"Osobiście/tel.",Zamowienia!$L:$L,"alza.cz*",Zamowienia!$D:$D,"1",Zamowienia!$G:$G,A15,Zamowienia!$N:$N,"Słowacja"))</f>
        <v/>
      </c>
      <c r="E15" s="3" t="str">
        <f t="shared" ca="1" si="0"/>
        <v/>
      </c>
      <c r="F15" s="5"/>
    </row>
    <row r="16" spans="1:25" ht="18.75" x14ac:dyDescent="0.25">
      <c r="A16" s="2">
        <v>45122</v>
      </c>
      <c r="B16" s="9" t="s">
        <v>8</v>
      </c>
      <c r="C16" s="3" t="str">
        <f ca="1">IF($A16/(TODAY()-1)&gt;1,"",SUMIFS(Zamowienia!$K:$K,Zamowienia!$M:$M,"Osobiście/tel.",Zamowienia!$L:$L,"alza.cz*",Zamowienia!$D:$D,"1",Zamowienia!$G:$G,A16,Zamowienia!$N:$N,"Czechy"))</f>
        <v/>
      </c>
      <c r="D16" s="3" t="str">
        <f ca="1">IF($A16/(TODAY()-1)&gt;1,"",SUMIFS(Zamowienia!$K:$K,Zamowienia!$M:$M,"Osobiście/tel.",Zamowienia!$L:$L,"alza.cz*",Zamowienia!$D:$D,"1",Zamowienia!$G:$G,A16,Zamowienia!$N:$N,"Słowacja"))</f>
        <v/>
      </c>
      <c r="E16" s="3" t="str">
        <f t="shared" ca="1" si="0"/>
        <v/>
      </c>
      <c r="F16" s="5"/>
      <c r="I16" s="79"/>
    </row>
    <row r="17" spans="1:6" ht="18.75" x14ac:dyDescent="0.25">
      <c r="A17" s="2">
        <v>45123</v>
      </c>
      <c r="B17" s="9" t="s">
        <v>10</v>
      </c>
      <c r="C17" s="3" t="str">
        <f ca="1">IF($A17/(TODAY()-1)&gt;1,"",SUMIFS(Zamowienia!$K:$K,Zamowienia!$M:$M,"Osobiście/tel.",Zamowienia!$L:$L,"alza.cz*",Zamowienia!$D:$D,"1",Zamowienia!$G:$G,A17,Zamowienia!$N:$N,"Czechy"))</f>
        <v/>
      </c>
      <c r="D17" s="3" t="str">
        <f ca="1">IF($A17/(TODAY()-1)&gt;1,"",SUMIFS(Zamowienia!$K:$K,Zamowienia!$M:$M,"Osobiście/tel.",Zamowienia!$L:$L,"alza.cz*",Zamowienia!$D:$D,"1",Zamowienia!$G:$G,A17,Zamowienia!$N:$N,"Słowacja"))</f>
        <v/>
      </c>
      <c r="E17" s="3" t="str">
        <f t="shared" ca="1" si="0"/>
        <v/>
      </c>
      <c r="F17" s="5"/>
    </row>
    <row r="18" spans="1:6" ht="18.75" x14ac:dyDescent="0.25">
      <c r="A18" s="2">
        <v>45124</v>
      </c>
      <c r="B18" s="10" t="s">
        <v>6</v>
      </c>
      <c r="C18" s="3" t="str">
        <f ca="1">IF($A18/(TODAY()-1)&gt;1,"",SUMIFS(Zamowienia!$K:$K,Zamowienia!$M:$M,"Osobiście/tel.",Zamowienia!$L:$L,"alza.cz*",Zamowienia!$D:$D,"1",Zamowienia!$G:$G,A18,Zamowienia!$N:$N,"Czechy"))</f>
        <v/>
      </c>
      <c r="D18" s="3" t="str">
        <f ca="1">IF($A18/(TODAY()-1)&gt;1,"",SUMIFS(Zamowienia!$K:$K,Zamowienia!$M:$M,"Osobiście/tel.",Zamowienia!$L:$L,"alza.cz*",Zamowienia!$D:$D,"1",Zamowienia!$G:$G,A18,Zamowienia!$N:$N,"Słowacja"))</f>
        <v/>
      </c>
      <c r="E18" s="3" t="str">
        <f t="shared" ca="1" si="0"/>
        <v/>
      </c>
      <c r="F18" s="5"/>
    </row>
    <row r="19" spans="1:6" ht="18.75" x14ac:dyDescent="0.25">
      <c r="A19" s="2">
        <v>45125</v>
      </c>
      <c r="B19" s="4" t="s">
        <v>11</v>
      </c>
      <c r="C19" s="3" t="str">
        <f ca="1">IF($A19/(TODAY()-1)&gt;1,"",SUMIFS(Zamowienia!$K:$K,Zamowienia!$M:$M,"Osobiście/tel.",Zamowienia!$L:$L,"alza.cz*",Zamowienia!$D:$D,"1",Zamowienia!$G:$G,A19,Zamowienia!$N:$N,"Czechy"))</f>
        <v/>
      </c>
      <c r="D19" s="3" t="str">
        <f ca="1">IF($A19/(TODAY()-1)&gt;1,"",SUMIFS(Zamowienia!$K:$K,Zamowienia!$M:$M,"Osobiście/tel.",Zamowienia!$L:$L,"alza.cz*",Zamowienia!$D:$D,"1",Zamowienia!$G:$G,A19,Zamowienia!$N:$N,"Słowacja"))</f>
        <v/>
      </c>
      <c r="E19" s="3" t="str">
        <f t="shared" ca="1" si="0"/>
        <v/>
      </c>
      <c r="F19" s="5"/>
    </row>
    <row r="20" spans="1:6" ht="18.75" x14ac:dyDescent="0.25">
      <c r="A20" s="2">
        <v>45126</v>
      </c>
      <c r="B20" s="4" t="s">
        <v>13</v>
      </c>
      <c r="C20" s="3" t="str">
        <f ca="1">IF($A20/(TODAY()-1)&gt;1,"",SUMIFS(Zamowienia!$K:$K,Zamowienia!$M:$M,"Osobiście/tel.",Zamowienia!$L:$L,"alza.cz*",Zamowienia!$D:$D,"1",Zamowienia!$G:$G,A20,Zamowienia!$N:$N,"Czechy"))</f>
        <v/>
      </c>
      <c r="D20" s="3" t="str">
        <f ca="1">IF($A20/(TODAY()-1)&gt;1,"",SUMIFS(Zamowienia!$K:$K,Zamowienia!$M:$M,"Osobiście/tel.",Zamowienia!$L:$L,"alza.cz*",Zamowienia!$D:$D,"1",Zamowienia!$G:$G,A20,Zamowienia!$N:$N,"Słowacja"))</f>
        <v/>
      </c>
      <c r="E20" s="3" t="str">
        <f ca="1">IF($A20/(TODAY()-1)&gt;1,"",SUM(C20:D20))</f>
        <v/>
      </c>
      <c r="F20" s="5"/>
    </row>
    <row r="21" spans="1:6" ht="18.75" x14ac:dyDescent="0.25">
      <c r="A21" s="2">
        <v>45127</v>
      </c>
      <c r="B21" s="4" t="s">
        <v>3</v>
      </c>
      <c r="C21" s="3" t="str">
        <f ca="1">IF($A21/(TODAY()-1)&gt;1,"",SUMIFS(Zamowienia!$K:$K,Zamowienia!$M:$M,"Osobiście/tel.",Zamowienia!$L:$L,"alza.cz*",Zamowienia!$D:$D,"1",Zamowienia!$G:$G,A21,Zamowienia!$N:$N,"Czechy"))</f>
        <v/>
      </c>
      <c r="D21" s="3" t="str">
        <f ca="1">IF($A21/(TODAY()-1)&gt;1,"",SUMIFS(Zamowienia!$K:$K,Zamowienia!$M:$M,"Osobiście/tel.",Zamowienia!$L:$L,"alza.cz*",Zamowienia!$D:$D,"1",Zamowienia!$G:$G,A21,Zamowienia!$N:$N,"Słowacja"))</f>
        <v/>
      </c>
      <c r="E21" s="3" t="str">
        <f ca="1">IF($A21/(TODAY()-1)&gt;1,"",SUM(C21:D21))</f>
        <v/>
      </c>
      <c r="F21" s="5"/>
    </row>
    <row r="22" spans="1:6" ht="18.75" x14ac:dyDescent="0.25">
      <c r="A22" s="2">
        <v>45128</v>
      </c>
      <c r="B22" s="4" t="s">
        <v>6</v>
      </c>
      <c r="C22" s="3" t="str">
        <f ca="1">IF($A22/(TODAY()-1)&gt;1,"",SUMIFS(Zamowienia!$K:$K,Zamowienia!$M:$M,"Osobiście/tel.",Zamowienia!$L:$L,"alza.cz*",Zamowienia!$D:$D,"1",Zamowienia!$G:$G,A22,Zamowienia!$N:$N,"Czechy"))</f>
        <v/>
      </c>
      <c r="D22" s="3" t="str">
        <f ca="1">IF($A22/(TODAY()-1)&gt;1,"",SUMIFS(Zamowienia!$K:$K,Zamowienia!$M:$M,"Osobiście/tel.",Zamowienia!$L:$L,"alza.cz*",Zamowienia!$D:$D,"1",Zamowienia!$G:$G,A22,Zamowienia!$N:$N,"Słowacja"))</f>
        <v/>
      </c>
      <c r="E22" s="3" t="str">
        <f t="shared" ca="1" si="0"/>
        <v/>
      </c>
      <c r="F22" s="5"/>
    </row>
    <row r="23" spans="1:6" ht="18.75" x14ac:dyDescent="0.25">
      <c r="A23" s="2">
        <v>45129</v>
      </c>
      <c r="B23" s="9" t="s">
        <v>8</v>
      </c>
      <c r="C23" s="3" t="str">
        <f ca="1">IF($A23/(TODAY()-1)&gt;1,"",SUMIFS(Zamowienia!$K:$K,Zamowienia!$M:$M,"Osobiście/tel.",Zamowienia!$L:$L,"alza.cz*",Zamowienia!$D:$D,"1",Zamowienia!$G:$G,A23,Zamowienia!$N:$N,"Czechy"))</f>
        <v/>
      </c>
      <c r="D23" s="3" t="str">
        <f ca="1">IF($A23/(TODAY()-1)&gt;1,"",SUMIFS(Zamowienia!$K:$K,Zamowienia!$M:$M,"Osobiście/tel.",Zamowienia!$L:$L,"alza.cz*",Zamowienia!$D:$D,"1",Zamowienia!$G:$G,A23,Zamowienia!$N:$N,"Słowacja"))</f>
        <v/>
      </c>
      <c r="E23" s="3" t="str">
        <f t="shared" ca="1" si="0"/>
        <v/>
      </c>
      <c r="F23" s="5"/>
    </row>
    <row r="24" spans="1:6" ht="18.75" x14ac:dyDescent="0.25">
      <c r="A24" s="2">
        <v>45130</v>
      </c>
      <c r="B24" s="9" t="s">
        <v>10</v>
      </c>
      <c r="C24" s="3" t="str">
        <f ca="1">IF($A24/(TODAY()-1)&gt;1,"",SUMIFS(Zamowienia!$K:$K,Zamowienia!$M:$M,"Osobiście/tel.",Zamowienia!$L:$L,"alza.cz*",Zamowienia!$D:$D,"1",Zamowienia!$G:$G,A24,Zamowienia!$N:$N,"Czechy"))</f>
        <v/>
      </c>
      <c r="D24" s="3" t="str">
        <f ca="1">IF($A24/(TODAY()-1)&gt;1,"",SUMIFS(Zamowienia!$K:$K,Zamowienia!$M:$M,"Osobiście/tel.",Zamowienia!$L:$L,"alza.cz*",Zamowienia!$D:$D,"1",Zamowienia!$G:$G,A24,Zamowienia!$N:$N,"Słowacja"))</f>
        <v/>
      </c>
      <c r="E24" s="3" t="str">
        <f t="shared" ca="1" si="0"/>
        <v/>
      </c>
      <c r="F24" s="11"/>
    </row>
    <row r="25" spans="1:6" ht="18.75" x14ac:dyDescent="0.25">
      <c r="A25" s="2">
        <v>45131</v>
      </c>
      <c r="B25" s="10" t="s">
        <v>6</v>
      </c>
      <c r="C25" s="3" t="str">
        <f ca="1">IF($A25/(TODAY()-1)&gt;1,"",SUMIFS(Zamowienia!$K:$K,Zamowienia!$M:$M,"Osobiście/tel.",Zamowienia!$L:$L,"alza.cz*",Zamowienia!$D:$D,"1",Zamowienia!$G:$G,A25,Zamowienia!$N:$N,"Czechy"))</f>
        <v/>
      </c>
      <c r="D25" s="3" t="str">
        <f ca="1">IF($A25/(TODAY()-1)&gt;1,"",SUMIFS(Zamowienia!$K:$K,Zamowienia!$M:$M,"Osobiście/tel.",Zamowienia!$L:$L,"alza.cz*",Zamowienia!$D:$D,"1",Zamowienia!$G:$G,A25,Zamowienia!$N:$N,"Słowacja"))</f>
        <v/>
      </c>
      <c r="E25" s="3" t="str">
        <f t="shared" ca="1" si="0"/>
        <v/>
      </c>
      <c r="F25" s="11"/>
    </row>
    <row r="26" spans="1:6" ht="18.75" x14ac:dyDescent="0.25">
      <c r="A26" s="2">
        <v>45132</v>
      </c>
      <c r="B26" s="4" t="s">
        <v>11</v>
      </c>
      <c r="C26" s="3" t="str">
        <f ca="1">IF($A26/(TODAY()-1)&gt;1,"",SUMIFS(Zamowienia!$K:$K,Zamowienia!$M:$M,"Osobiście/tel.",Zamowienia!$L:$L,"alza.cz*",Zamowienia!$D:$D,"1",Zamowienia!$G:$G,A26,Zamowienia!$N:$N,"Czechy"))</f>
        <v/>
      </c>
      <c r="D26" s="3" t="str">
        <f ca="1">IF($A26/(TODAY()-1)&gt;1,"",SUMIFS(Zamowienia!$K:$K,Zamowienia!$M:$M,"Osobiście/tel.",Zamowienia!$L:$L,"alza.cz*",Zamowienia!$D:$D,"1",Zamowienia!$G:$G,A26,Zamowienia!$N:$N,"Słowacja"))</f>
        <v/>
      </c>
      <c r="E26" s="3" t="str">
        <f t="shared" ca="1" si="0"/>
        <v/>
      </c>
      <c r="F26" s="11"/>
    </row>
    <row r="27" spans="1:6" ht="18.75" x14ac:dyDescent="0.25">
      <c r="A27" s="2">
        <v>45133</v>
      </c>
      <c r="B27" s="4" t="s">
        <v>13</v>
      </c>
      <c r="C27" s="3" t="str">
        <f ca="1">IF($A27/(TODAY()-1)&gt;1,"",SUMIFS(Zamowienia!$K:$K,Zamowienia!$M:$M,"Osobiście/tel.",Zamowienia!$L:$L,"alza.cz*",Zamowienia!$D:$D,"1",Zamowienia!$G:$G,A27,Zamowienia!$N:$N,"Czechy"))</f>
        <v/>
      </c>
      <c r="D27" s="3" t="str">
        <f ca="1">IF($A27/(TODAY()-1)&gt;1,"",SUMIFS(Zamowienia!$K:$K,Zamowienia!$M:$M,"Osobiście/tel.",Zamowienia!$L:$L,"alza.cz*",Zamowienia!$D:$D,"1",Zamowienia!$G:$G,A27,Zamowienia!$N:$N,"Słowacja"))</f>
        <v/>
      </c>
      <c r="E27" s="3" t="str">
        <f t="shared" ca="1" si="0"/>
        <v/>
      </c>
      <c r="F27" s="11"/>
    </row>
    <row r="28" spans="1:6" ht="18.75" x14ac:dyDescent="0.25">
      <c r="A28" s="2">
        <v>45134</v>
      </c>
      <c r="B28" s="4" t="s">
        <v>3</v>
      </c>
      <c r="C28" s="3" t="str">
        <f ca="1">IF($A28/(TODAY()-1)&gt;1,"",SUMIFS(Zamowienia!$K:$K,Zamowienia!$M:$M,"Osobiście/tel.",Zamowienia!$L:$L,"alza.cz*",Zamowienia!$D:$D,"1",Zamowienia!$G:$G,A28,Zamowienia!$N:$N,"Czechy"))</f>
        <v/>
      </c>
      <c r="D28" s="3" t="str">
        <f ca="1">IF($A28/(TODAY()-1)&gt;1,"",SUMIFS(Zamowienia!$K:$K,Zamowienia!$M:$M,"Osobiście/tel.",Zamowienia!$L:$L,"alza.cz*",Zamowienia!$D:$D,"1",Zamowienia!$G:$G,A28,Zamowienia!$N:$N,"Słowacja"))</f>
        <v/>
      </c>
      <c r="E28" s="3" t="str">
        <f t="shared" ca="1" si="0"/>
        <v/>
      </c>
      <c r="F28" s="11"/>
    </row>
    <row r="29" spans="1:6" ht="18.75" x14ac:dyDescent="0.25">
      <c r="A29" s="2">
        <v>45135</v>
      </c>
      <c r="B29" s="4" t="s">
        <v>6</v>
      </c>
      <c r="C29" s="3" t="str">
        <f ca="1">IF($A29/(TODAY()-1)&gt;1,"",SUMIFS(Zamowienia!$K:$K,Zamowienia!$M:$M,"Osobiście/tel.",Zamowienia!$L:$L,"alza.cz*",Zamowienia!$D:$D,"1",Zamowienia!$G:$G,A29,Zamowienia!$N:$N,"Czechy"))</f>
        <v/>
      </c>
      <c r="D29" s="3" t="str">
        <f ca="1">IF($A29/(TODAY()-1)&gt;1,"",SUMIFS(Zamowienia!$K:$K,Zamowienia!$M:$M,"Osobiście/tel.",Zamowienia!$L:$L,"alza.cz*",Zamowienia!$D:$D,"1",Zamowienia!$G:$G,A29,Zamowienia!$N:$N,"Słowacja"))</f>
        <v/>
      </c>
      <c r="E29" s="3" t="str">
        <f t="shared" ca="1" si="0"/>
        <v/>
      </c>
      <c r="F29" s="11"/>
    </row>
    <row r="30" spans="1:6" ht="18.75" x14ac:dyDescent="0.25">
      <c r="A30" s="2">
        <v>45136</v>
      </c>
      <c r="B30" s="9" t="s">
        <v>8</v>
      </c>
      <c r="C30" s="3" t="str">
        <f ca="1">IF($A30/(TODAY()-1)&gt;1,"",SUMIFS(Zamowienia!$K:$K,Zamowienia!$M:$M,"Osobiście/tel.",Zamowienia!$L:$L,"alza.cz*",Zamowienia!$D:$D,"1",Zamowienia!$G:$G,A30,Zamowienia!$N:$N,"Czechy"))</f>
        <v/>
      </c>
      <c r="D30" s="3" t="str">
        <f ca="1">IF($A30/(TODAY()-1)&gt;1,"",SUMIFS(Zamowienia!$K:$K,Zamowienia!$M:$M,"Osobiście/tel.",Zamowienia!$L:$L,"alza.cz*",Zamowienia!$D:$D,"1",Zamowienia!$G:$G,A30,Zamowienia!$N:$N,"Słowacja"))</f>
        <v/>
      </c>
      <c r="E30" s="3" t="str">
        <f t="shared" ca="1" si="0"/>
        <v/>
      </c>
    </row>
    <row r="31" spans="1:6" ht="18.75" x14ac:dyDescent="0.25">
      <c r="A31" s="2">
        <v>45137</v>
      </c>
      <c r="B31" s="9" t="s">
        <v>10</v>
      </c>
      <c r="C31" s="3" t="str">
        <f ca="1">IF($A31/(TODAY()-1)&gt;1,"",SUMIFS(Zamowienia!$K:$K,Zamowienia!$M:$M,"Osobiście/tel.",Zamowienia!$L:$L,"alza.cz*",Zamowienia!$D:$D,"1",Zamowienia!$G:$G,A31,Zamowienia!$N:$N,"Czechy"))</f>
        <v/>
      </c>
      <c r="D31" s="3" t="str">
        <f ca="1">IF($A31/(TODAY()-1)&gt;1,"",SUMIFS(Zamowienia!$K:$K,Zamowienia!$M:$M,"Osobiście/tel.",Zamowienia!$L:$L,"alza.cz*",Zamowienia!$D:$D,"1",Zamowienia!$G:$G,A31,Zamowienia!$N:$N,"Słowacja"))</f>
        <v/>
      </c>
      <c r="E31" s="3" t="str">
        <f t="shared" ca="1" si="0"/>
        <v/>
      </c>
    </row>
    <row r="32" spans="1:6" ht="18.75" x14ac:dyDescent="0.25">
      <c r="A32" s="2">
        <v>45138</v>
      </c>
      <c r="B32" s="10" t="s">
        <v>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4291-9E49-443F-BE1E-C5DB2A42D139}">
  <dimension ref="A1:AC31"/>
  <sheetViews>
    <sheetView topLeftCell="D1" zoomScale="70" zoomScaleNormal="70" workbookViewId="0">
      <selection activeCell="AB6" sqref="AB6"/>
    </sheetView>
  </sheetViews>
  <sheetFormatPr defaultRowHeight="15" x14ac:dyDescent="0.25"/>
  <cols>
    <col min="1" max="1" width="16.5703125" customWidth="1"/>
    <col min="2" max="2" width="9.42578125" customWidth="1"/>
    <col min="3" max="5" width="15.7109375" bestFit="1" customWidth="1"/>
    <col min="6" max="6" width="10.85546875" bestFit="1" customWidth="1"/>
    <col min="7" max="9" width="15.7109375" bestFit="1" customWidth="1"/>
    <col min="10" max="10" width="10.85546875" bestFit="1" customWidth="1"/>
    <col min="11" max="13" width="15.7109375" bestFit="1" customWidth="1"/>
    <col min="14" max="14" width="10.85546875" bestFit="1" customWidth="1"/>
    <col min="15" max="15" width="15.7109375" bestFit="1" customWidth="1"/>
    <col min="16" max="16" width="14" bestFit="1" customWidth="1"/>
    <col min="17" max="17" width="15.7109375" bestFit="1" customWidth="1"/>
    <col min="18" max="18" width="10.85546875" bestFit="1" customWidth="1"/>
    <col min="19" max="20" width="15.7109375" bestFit="1" customWidth="1"/>
    <col min="21" max="21" width="17.140625" bestFit="1" customWidth="1"/>
    <col min="22" max="22" width="10.85546875" bestFit="1" customWidth="1"/>
    <col min="23" max="23" width="9.28515625" bestFit="1" customWidth="1"/>
    <col min="24" max="24" width="15" bestFit="1" customWidth="1"/>
    <col min="25" max="25" width="14.7109375" style="8" bestFit="1" customWidth="1"/>
    <col min="26" max="26" width="14.5703125" bestFit="1" customWidth="1"/>
    <col min="27" max="27" width="13" bestFit="1" customWidth="1"/>
    <col min="28" max="28" width="19" style="7" bestFit="1" customWidth="1"/>
    <col min="29" max="29" width="11.85546875" bestFit="1" customWidth="1"/>
  </cols>
  <sheetData>
    <row r="1" spans="1:29" ht="37.5" x14ac:dyDescent="0.25">
      <c r="A1" s="12"/>
      <c r="B1" s="12"/>
      <c r="C1" s="13" t="s">
        <v>15</v>
      </c>
      <c r="D1" s="13" t="s">
        <v>16</v>
      </c>
      <c r="E1" s="14" t="s">
        <v>17</v>
      </c>
      <c r="F1" s="15" t="s">
        <v>18</v>
      </c>
      <c r="G1" s="13" t="s">
        <v>19</v>
      </c>
      <c r="H1" s="13" t="s">
        <v>20</v>
      </c>
      <c r="I1" s="14" t="s">
        <v>21</v>
      </c>
      <c r="J1" s="15" t="s">
        <v>18</v>
      </c>
      <c r="K1" s="13" t="s">
        <v>22</v>
      </c>
      <c r="L1" s="13" t="s">
        <v>23</v>
      </c>
      <c r="M1" s="14" t="s">
        <v>24</v>
      </c>
      <c r="N1" s="15" t="s">
        <v>18</v>
      </c>
      <c r="O1" s="13" t="s">
        <v>25</v>
      </c>
      <c r="P1" s="13" t="s">
        <v>26</v>
      </c>
      <c r="Q1" s="14" t="s">
        <v>27</v>
      </c>
      <c r="R1" s="15" t="s">
        <v>18</v>
      </c>
      <c r="S1" s="13" t="s">
        <v>28</v>
      </c>
      <c r="T1" s="13" t="s">
        <v>29</v>
      </c>
      <c r="U1" s="14" t="s">
        <v>30</v>
      </c>
      <c r="V1" s="15" t="s">
        <v>18</v>
      </c>
      <c r="X1" t="s">
        <v>31</v>
      </c>
      <c r="Z1" t="s">
        <v>4</v>
      </c>
      <c r="AA1" t="s">
        <v>5</v>
      </c>
      <c r="AB1" s="7" t="str">
        <f ca="1">"Realizacja " &amp; TEXT(DATE(YEAR(TODAY()),MONTH(TODAY())-1,1),"MM.RRRR")</f>
        <v>Realizacja 06.2023</v>
      </c>
    </row>
    <row r="2" spans="1:29" ht="18.75" x14ac:dyDescent="0.25">
      <c r="A2" s="2">
        <v>45078</v>
      </c>
      <c r="B2" s="4" t="s">
        <v>3</v>
      </c>
      <c r="C2" s="16">
        <f ca="1">IF($A2/(TODAY()-1)&gt;1,"",SUMIFS(Zamowienia!$K:$K,Zamowienia!$M:$M,"Osobiście/tel.",Zamowienia!$L:$L,"Mall.cz-*",Zamowienia!$D:$D,"1",Zamowienia!$G:$G,$A2,Zamowienia!$O:$O,"Shumee"))</f>
        <v>0</v>
      </c>
      <c r="D2" s="16">
        <f ca="1">IF($A2/(TODAY()-1)&gt;1,"",SUMIFS(Zamowienia!$K:$K,Zamowienia!$M:$M,"Osobiście/tel.",Zamowienia!$L:$L,"Mall.cz-*",Zamowienia!$D:$D,"1",Zamowienia!$G:$G,$A2,Zamowienia!$O:$O,"Greatstore"))</f>
        <v>0</v>
      </c>
      <c r="E2" s="17">
        <f ca="1">IF($A2/(TODAY()-1)&gt;1,"",C2+D2)</f>
        <v>0</v>
      </c>
      <c r="F2" s="18" t="str">
        <f t="shared" ref="F2:F14" ca="1" si="0">IFERROR(D2/E2,"")</f>
        <v/>
      </c>
      <c r="G2" s="16">
        <f ca="1">IF($A2/(TODAY()-1)&gt;1,"",SUMIFS(Zamowienia!$K:$K,Zamowienia!$M:$M,"Osobiście/tel.",Zamowienia!$L:$L,"Mall.sk-*",Zamowienia!$D:$D,"1",Zamowienia!$G:$G,$A2,Zamowienia!$O:$O,"Shumee"))</f>
        <v>0</v>
      </c>
      <c r="H2" s="19">
        <f ca="1">IF($A2/(TODAY()-1)&gt;1,"",SUMIFS(Zamowienia!$K:$K,Zamowienia!$M:$M,"Osobiście/tel.",Zamowienia!$L:$L,"Mall.sk-*",Zamowienia!$D:$D,"1",Zamowienia!$G:$G,$A2,Zamowienia!$O:$O,"Greatstore"))</f>
        <v>0</v>
      </c>
      <c r="I2" s="17">
        <f ca="1">IF($A2/(TODAY()-1)&gt;1,"",G2+H2)</f>
        <v>0</v>
      </c>
      <c r="J2" s="18" t="str">
        <f t="shared" ref="J2:J14" ca="1" si="1">IFERROR(H2/I2,"")</f>
        <v/>
      </c>
      <c r="K2" s="16">
        <f ca="1">IF($A2/(TODAY()-1)&gt;1,"",SUMIFS(Zamowienia!$K:$K,Zamowienia!$M:$M,"Osobiście/tel.",Zamowienia!$L:$L,"Mimovrste.com-*",Zamowienia!$D:$D,"1",Zamowienia!$G:$G,$A2,Zamowienia!$O:$O,"Shumee"))</f>
        <v>0</v>
      </c>
      <c r="L2" s="19">
        <f ca="1">IF($A2/(TODAY()-1)&gt;1,"",SUMIFS(Zamowienia!$K:$K,Zamowienia!$M:$M,"Osobiście/tel.",Zamowienia!$L:$L,"Mimovrste.com-*",Zamowienia!$D:$D,"1",Zamowienia!$G:$G,$A2,Zamowienia!$O:$O,"Greatstore"))</f>
        <v>0</v>
      </c>
      <c r="M2" s="17">
        <f ca="1">IF($A2/(TODAY()-1)&gt;1,"",K2+L2)</f>
        <v>0</v>
      </c>
      <c r="N2" s="18" t="str">
        <f t="shared" ref="N2:N14" ca="1" si="2">IFERROR(L2/M2,"")</f>
        <v/>
      </c>
      <c r="O2" s="16">
        <f ca="1">IF($A2/(TODAY()-1)&gt;1,"",SUMIFS(Zamowienia!$K:$K,Zamowienia!$M:$M,"Osobiście/tel.",Zamowienia!$L:$L,"shumee*",Zamowienia!$D:$D,"1",Zamowienia!$G:$G,$A2,Zamowienia!N:N,"Węgry"))</f>
        <v>0</v>
      </c>
      <c r="P2" s="19">
        <f ca="1">IF($A2/(TODAY()-1)&gt;1,"",SUMIFS(Zamowienia!$K:$K,Zamowienia!$M:$M,"Osobiście/tel.",Zamowienia!$L:$L,"Mall.hu-*",Zamowienia!$D:$D,"1",Zamowienia!$G:$G,$A2,Zamowienia!$O:$O,"Greatstore"))</f>
        <v>0</v>
      </c>
      <c r="Q2" s="17">
        <f ca="1">IF($A2/(TODAY()-1)&gt;1,"",O2+P2)</f>
        <v>0</v>
      </c>
      <c r="R2" s="18" t="str">
        <f t="shared" ref="R2:R14" ca="1" si="3">IFERROR(P2/Q2,"")</f>
        <v/>
      </c>
      <c r="S2" s="20">
        <f ca="1">IF($A2/(TODAY()-1)&gt;1,"",C2+G2+K2+O2)</f>
        <v>0</v>
      </c>
      <c r="T2" s="20">
        <f ca="1">IF($A2/(TODAY()-1)&gt;1,"",D2+H2+L2+P2)</f>
        <v>0</v>
      </c>
      <c r="U2" s="21">
        <f ca="1">IF($A2/(TODAY()-1)&gt;1,"",S2+T2)</f>
        <v>0</v>
      </c>
      <c r="V2" s="18" t="str">
        <f ca="1">IFERROR(T2/U2,"")</f>
        <v/>
      </c>
      <c r="X2" t="s">
        <v>7</v>
      </c>
      <c r="Y2" s="8">
        <v>1000000</v>
      </c>
      <c r="Z2" s="8">
        <f ca="1">SUM(E$2:E$31)</f>
        <v>0</v>
      </c>
      <c r="AA2" s="7">
        <f ca="1">Z2/Y2</f>
        <v>0</v>
      </c>
      <c r="AB2" s="8">
        <v>637823.03370786516</v>
      </c>
      <c r="AC2" s="8">
        <f>AB2/Roboczy!$B$1</f>
        <v>20574.936571221457</v>
      </c>
    </row>
    <row r="3" spans="1:29" ht="18.75" x14ac:dyDescent="0.25">
      <c r="A3" s="2">
        <v>45079</v>
      </c>
      <c r="B3" s="4" t="s">
        <v>6</v>
      </c>
      <c r="C3" s="16">
        <f ca="1">IF($A3/(TODAY()-1)&gt;1,"",SUMIFS(Zamowienia!$K:$K,Zamowienia!$M:$M,"Osobiście/tel.",Zamowienia!$L:$L,"Mall.cz-*",Zamowienia!$D:$D,"1",Zamowienia!$G:$G,$A3,Zamowienia!$O:$O,"Shumee"))</f>
        <v>0</v>
      </c>
      <c r="D3" s="16">
        <f ca="1">IF($A3/(TODAY()-1)&gt;1,"",SUMIFS(Zamowienia!$K:$K,Zamowienia!$M:$M,"Osobiście/tel.",Zamowienia!$L:$L,"Mall.cz-*",Zamowienia!$D:$D,"1",Zamowienia!$G:$G,$A3,Zamowienia!$O:$O,"Greatstore"))</f>
        <v>0</v>
      </c>
      <c r="E3" s="17">
        <f t="shared" ref="E3:E31" ca="1" si="4">IF($A3/(TODAY()-1)&gt;1,"",C3+D3)</f>
        <v>0</v>
      </c>
      <c r="F3" s="18" t="str">
        <f t="shared" ca="1" si="0"/>
        <v/>
      </c>
      <c r="G3" s="16">
        <f ca="1">IF($A3/(TODAY()-1)&gt;1,"",SUMIFS(Zamowienia!$K:$K,Zamowienia!$M:$M,"Osobiście/tel.",Zamowienia!$L:$L,"Mall.sk-*",Zamowienia!$D:$D,"1",Zamowienia!$G:$G,$A3,Zamowienia!$O:$O,"Shumee"))</f>
        <v>0</v>
      </c>
      <c r="H3" s="19">
        <f ca="1">IF($A3/(TODAY()-1)&gt;1,"",SUMIFS(Zamowienia!$K:$K,Zamowienia!$M:$M,"Osobiście/tel.",Zamowienia!$L:$L,"Mall.sk-*",Zamowienia!$D:$D,"1",Zamowienia!$G:$G,$A3,Zamowienia!$O:$O,"Greatstore"))</f>
        <v>0</v>
      </c>
      <c r="I3" s="17">
        <f t="shared" ref="I3:I31" ca="1" si="5">IF($A3/(TODAY()-1)&gt;1,"",G3+H3)</f>
        <v>0</v>
      </c>
      <c r="J3" s="18" t="str">
        <f t="shared" ca="1" si="1"/>
        <v/>
      </c>
      <c r="K3" s="16">
        <f ca="1">IF($A3/(TODAY()-1)&gt;1,"",SUMIFS(Zamowienia!$K:$K,Zamowienia!$M:$M,"Osobiście/tel.",Zamowienia!$L:$L,"Mimovrste.com-*",Zamowienia!$D:$D,"1",Zamowienia!$G:$G,$A3,Zamowienia!$O:$O,"Shumee"))</f>
        <v>0</v>
      </c>
      <c r="L3" s="19">
        <f ca="1">IF($A3/(TODAY()-1)&gt;1,"",SUMIFS(Zamowienia!$K:$K,Zamowienia!$M:$M,"Osobiście/tel.",Zamowienia!$L:$L,"Mimovrste.com-*",Zamowienia!$D:$D,"1",Zamowienia!$G:$G,$A3,Zamowienia!$O:$O,"Greatstore"))</f>
        <v>0</v>
      </c>
      <c r="M3" s="17">
        <f t="shared" ref="M3:M31" ca="1" si="6">IF($A3/(TODAY()-1)&gt;1,"",K3+L3)</f>
        <v>0</v>
      </c>
      <c r="N3" s="18" t="str">
        <f t="shared" ca="1" si="2"/>
        <v/>
      </c>
      <c r="O3" s="16">
        <f ca="1">IF($A3/(TODAY()-1)&gt;1,"",SUMIFS(Zamowienia!$K:$K,Zamowienia!$M:$M,"Osobiście/tel.",Zamowienia!$L:$L,"shumee*",Zamowienia!$D:$D,"1",Zamowienia!$G:$G,$A3,Zamowienia!N:N,"Węgry"))</f>
        <v>0</v>
      </c>
      <c r="P3" s="19">
        <f ca="1">IF($A3/(TODAY()-1)&gt;1,"",SUMIFS(Zamowienia!$K:$K,Zamowienia!$M:$M,"Osobiście/tel.",Zamowienia!$L:$L,"Mall.hu-*",Zamowienia!$D:$D,"1",Zamowienia!$G:$G,$A3,Zamowienia!$O:$O,"Greatstore"))</f>
        <v>0</v>
      </c>
      <c r="Q3" s="17">
        <f t="shared" ref="Q3:Q31" ca="1" si="7">IF($A3/(TODAY()-1)&gt;1,"",O3+P3)</f>
        <v>0</v>
      </c>
      <c r="R3" s="18" t="str">
        <f t="shared" ca="1" si="3"/>
        <v/>
      </c>
      <c r="S3" s="20">
        <f t="shared" ref="S3:T31" ca="1" si="8">IF($A3/(TODAY()-1)&gt;1,"",C3+G3+K3+O3)</f>
        <v>0</v>
      </c>
      <c r="T3" s="20">
        <f t="shared" ca="1" si="8"/>
        <v>0</v>
      </c>
      <c r="U3" s="21">
        <f t="shared" ref="U3:U31" ca="1" si="9">IF($A3/(TODAY()-1)&gt;1,"",S3+T3)</f>
        <v>0</v>
      </c>
      <c r="V3" s="18" t="str">
        <f t="shared" ref="V3:V31" ca="1" si="10">IFERROR(T3/U3,"")</f>
        <v/>
      </c>
      <c r="X3" t="s">
        <v>9</v>
      </c>
      <c r="Y3" s="8">
        <f>ROUND(Y2/Roboczy!$B$2,2)</f>
        <v>33333.33</v>
      </c>
      <c r="Z3" s="8" t="e">
        <f ca="1">AVERAGEIF(E2:E31,"&lt;&gt;0")</f>
        <v>#DIV/0!</v>
      </c>
      <c r="AA3" s="7" t="e">
        <f ca="1">Z3/Y3</f>
        <v>#DIV/0!</v>
      </c>
      <c r="AB3" s="22">
        <f ca="1">Z2-AB2</f>
        <v>-637823.03370786516</v>
      </c>
      <c r="AC3" s="7" t="e">
        <f ca="1">Z3/AC2-1</f>
        <v>#DIV/0!</v>
      </c>
    </row>
    <row r="4" spans="1:29" ht="18.75" x14ac:dyDescent="0.25">
      <c r="A4" s="2">
        <v>45080</v>
      </c>
      <c r="B4" s="9" t="s">
        <v>8</v>
      </c>
      <c r="C4" s="16">
        <f ca="1">IF($A4/(TODAY()-1)&gt;1,"",SUMIFS(Zamowienia!$K:$K,Zamowienia!$M:$M,"Osobiście/tel.",Zamowienia!$L:$L,"Mall.cz-*",Zamowienia!$D:$D,"1",Zamowienia!$G:$G,$A4,Zamowienia!$O:$O,"Shumee"))</f>
        <v>0</v>
      </c>
      <c r="D4" s="16">
        <f ca="1">IF($A4/(TODAY()-1)&gt;1,"",SUMIFS(Zamowienia!$K:$K,Zamowienia!$M:$M,"Osobiście/tel.",Zamowienia!$L:$L,"Mall.cz-*",Zamowienia!$D:$D,"1",Zamowienia!$G:$G,$A4,Zamowienia!$O:$O,"Greatstore"))</f>
        <v>0</v>
      </c>
      <c r="E4" s="17">
        <f t="shared" ca="1" si="4"/>
        <v>0</v>
      </c>
      <c r="F4" s="18" t="str">
        <f t="shared" ca="1" si="0"/>
        <v/>
      </c>
      <c r="G4" s="16">
        <f ca="1">IF($A4/(TODAY()-1)&gt;1,"",SUMIFS(Zamowienia!$K:$K,Zamowienia!$M:$M,"Osobiście/tel.",Zamowienia!$L:$L,"Mall.sk-*",Zamowienia!$D:$D,"1",Zamowienia!$G:$G,$A4,Zamowienia!$O:$O,"Shumee"))</f>
        <v>0</v>
      </c>
      <c r="H4" s="19">
        <f ca="1">IF($A4/(TODAY()-1)&gt;1,"",SUMIFS(Zamowienia!$K:$K,Zamowienia!$M:$M,"Osobiście/tel.",Zamowienia!$L:$L,"Mall.sk-*",Zamowienia!$D:$D,"1",Zamowienia!$G:$G,$A4,Zamowienia!$O:$O,"Greatstore"))</f>
        <v>0</v>
      </c>
      <c r="I4" s="17">
        <f t="shared" ca="1" si="5"/>
        <v>0</v>
      </c>
      <c r="J4" s="18" t="str">
        <f t="shared" ca="1" si="1"/>
        <v/>
      </c>
      <c r="K4" s="16">
        <f ca="1">IF($A4/(TODAY()-1)&gt;1,"",SUMIFS(Zamowienia!$K:$K,Zamowienia!$M:$M,"Osobiście/tel.",Zamowienia!$L:$L,"Mimovrste.com-*",Zamowienia!$D:$D,"1",Zamowienia!$G:$G,$A4,Zamowienia!$O:$O,"Shumee"))</f>
        <v>0</v>
      </c>
      <c r="L4" s="19">
        <f ca="1">IF($A4/(TODAY()-1)&gt;1,"",SUMIFS(Zamowienia!$K:$K,Zamowienia!$M:$M,"Osobiście/tel.",Zamowienia!$L:$L,"Mimovrste.com-*",Zamowienia!$D:$D,"1",Zamowienia!$G:$G,$A4,Zamowienia!$O:$O,"Greatstore"))</f>
        <v>0</v>
      </c>
      <c r="M4" s="17">
        <f t="shared" ca="1" si="6"/>
        <v>0</v>
      </c>
      <c r="N4" s="18" t="str">
        <f t="shared" ca="1" si="2"/>
        <v/>
      </c>
      <c r="O4" s="16">
        <f ca="1">IF($A4/(TODAY()-1)&gt;1,"",SUMIFS(Zamowienia!$K:$K,Zamowienia!$M:$M,"Osobiście/tel.",Zamowienia!$L:$L,"shumee*",Zamowienia!$D:$D,"1",Zamowienia!$G:$G,$A4,Zamowienia!N:N,"Węgry"))</f>
        <v>0</v>
      </c>
      <c r="P4" s="19">
        <f ca="1">IF($A4/(TODAY()-1)&gt;1,"",SUMIFS(Zamowienia!$K:$K,Zamowienia!$M:$M,"Osobiście/tel.",Zamowienia!$L:$L,"Mall.hu-*",Zamowienia!$D:$D,"1",Zamowienia!$G:$G,$A4,Zamowienia!$O:$O,"Greatstore"))</f>
        <v>0</v>
      </c>
      <c r="Q4" s="17">
        <f t="shared" ca="1" si="7"/>
        <v>0</v>
      </c>
      <c r="R4" s="18" t="str">
        <f t="shared" ca="1" si="3"/>
        <v/>
      </c>
      <c r="S4" s="20">
        <f t="shared" ca="1" si="8"/>
        <v>0</v>
      </c>
      <c r="T4" s="20">
        <f t="shared" ca="1" si="8"/>
        <v>0</v>
      </c>
      <c r="U4" s="21">
        <f t="shared" ca="1" si="9"/>
        <v>0</v>
      </c>
      <c r="V4" s="18" t="str">
        <f t="shared" ca="1" si="10"/>
        <v/>
      </c>
      <c r="X4" t="s">
        <v>32</v>
      </c>
      <c r="Z4" t="s">
        <v>4</v>
      </c>
      <c r="AA4" s="7" t="s">
        <v>5</v>
      </c>
      <c r="AB4" s="22"/>
    </row>
    <row r="5" spans="1:29" ht="18.75" x14ac:dyDescent="0.25">
      <c r="A5" s="2">
        <v>45081</v>
      </c>
      <c r="B5" s="9" t="s">
        <v>10</v>
      </c>
      <c r="C5" s="16">
        <f ca="1">IF($A5/(TODAY()-1)&gt;1,"",SUMIFS(Zamowienia!$K:$K,Zamowienia!$M:$M,"Osobiście/tel.",Zamowienia!$L:$L,"Mall.cz-*",Zamowienia!$D:$D,"1",Zamowienia!$G:$G,$A5,Zamowienia!$O:$O,"Shumee"))</f>
        <v>0</v>
      </c>
      <c r="D5" s="16">
        <f ca="1">IF($A5/(TODAY()-1)&gt;1,"",SUMIFS(Zamowienia!$K:$K,Zamowienia!$M:$M,"Osobiście/tel.",Zamowienia!$L:$L,"Mall.cz-*",Zamowienia!$D:$D,"1",Zamowienia!$G:$G,$A5,Zamowienia!$O:$O,"Greatstore"))</f>
        <v>0</v>
      </c>
      <c r="E5" s="17">
        <f t="shared" ca="1" si="4"/>
        <v>0</v>
      </c>
      <c r="F5" s="18" t="str">
        <f t="shared" ca="1" si="0"/>
        <v/>
      </c>
      <c r="G5" s="16">
        <f ca="1">IF($A5/(TODAY()-1)&gt;1,"",SUMIFS(Zamowienia!$K:$K,Zamowienia!$M:$M,"Osobiście/tel.",Zamowienia!$L:$L,"Mall.sk-*",Zamowienia!$D:$D,"1",Zamowienia!$G:$G,$A5,Zamowienia!$O:$O,"Shumee"))</f>
        <v>0</v>
      </c>
      <c r="H5" s="19">
        <f ca="1">IF($A5/(TODAY()-1)&gt;1,"",SUMIFS(Zamowienia!$K:$K,Zamowienia!$M:$M,"Osobiście/tel.",Zamowienia!$L:$L,"Mall.sk-*",Zamowienia!$D:$D,"1",Zamowienia!$G:$G,$A5,Zamowienia!$O:$O,"Greatstore"))</f>
        <v>0</v>
      </c>
      <c r="I5" s="17">
        <f t="shared" ca="1" si="5"/>
        <v>0</v>
      </c>
      <c r="J5" s="18" t="str">
        <f t="shared" ca="1" si="1"/>
        <v/>
      </c>
      <c r="K5" s="16">
        <f ca="1">IF($A5/(TODAY()-1)&gt;1,"",SUMIFS(Zamowienia!$K:$K,Zamowienia!$M:$M,"Osobiście/tel.",Zamowienia!$L:$L,"Mimovrste.com-*",Zamowienia!$D:$D,"1",Zamowienia!$G:$G,$A5,Zamowienia!$O:$O,"Shumee"))</f>
        <v>0</v>
      </c>
      <c r="L5" s="19">
        <f ca="1">IF($A5/(TODAY()-1)&gt;1,"",SUMIFS(Zamowienia!$K:$K,Zamowienia!$M:$M,"Osobiście/tel.",Zamowienia!$L:$L,"Mimovrste.com-*",Zamowienia!$D:$D,"1",Zamowienia!$G:$G,$A5,Zamowienia!$O:$O,"Greatstore"))</f>
        <v>0</v>
      </c>
      <c r="M5" s="17">
        <f t="shared" ca="1" si="6"/>
        <v>0</v>
      </c>
      <c r="N5" s="18" t="str">
        <f t="shared" ca="1" si="2"/>
        <v/>
      </c>
      <c r="O5" s="16">
        <f ca="1">IF($A5/(TODAY()-1)&gt;1,"",SUMIFS(Zamowienia!$K:$K,Zamowienia!$M:$M,"Osobiście/tel.",Zamowienia!$L:$L,"shumee*",Zamowienia!$D:$D,"1",Zamowienia!$G:$G,$A5,Zamowienia!N:N,"Węgry"))</f>
        <v>0</v>
      </c>
      <c r="P5" s="19">
        <f ca="1">IF($A5/(TODAY()-1)&gt;1,"",SUMIFS(Zamowienia!$K:$K,Zamowienia!$M:$M,"Osobiście/tel.",Zamowienia!$L:$L,"Mall.hu-*",Zamowienia!$D:$D,"1",Zamowienia!$G:$G,$A5,Zamowienia!$O:$O,"Greatstore"))</f>
        <v>0</v>
      </c>
      <c r="Q5" s="17">
        <f t="shared" ca="1" si="7"/>
        <v>0</v>
      </c>
      <c r="R5" s="18" t="str">
        <f t="shared" ca="1" si="3"/>
        <v/>
      </c>
      <c r="S5" s="20">
        <f t="shared" ca="1" si="8"/>
        <v>0</v>
      </c>
      <c r="T5" s="20">
        <f t="shared" ca="1" si="8"/>
        <v>0</v>
      </c>
      <c r="U5" s="21">
        <f t="shared" ca="1" si="9"/>
        <v>0</v>
      </c>
      <c r="V5" s="18" t="str">
        <f t="shared" ca="1" si="10"/>
        <v/>
      </c>
      <c r="X5" t="s">
        <v>7</v>
      </c>
      <c r="Y5" s="8">
        <v>550000</v>
      </c>
      <c r="Z5" s="8">
        <f ca="1">SUM(I$2:I$31)</f>
        <v>0</v>
      </c>
      <c r="AA5" s="7">
        <f ca="1">Z5/Y5</f>
        <v>0</v>
      </c>
      <c r="AB5" s="8">
        <v>394817.39879999997</v>
      </c>
      <c r="AC5" s="8">
        <f>AB5/Roboczy!$B$1</f>
        <v>12736.045122580645</v>
      </c>
    </row>
    <row r="6" spans="1:29" ht="18.75" x14ac:dyDescent="0.25">
      <c r="A6" s="2">
        <v>45082</v>
      </c>
      <c r="B6" s="10" t="s">
        <v>6</v>
      </c>
      <c r="C6" s="16">
        <f ca="1">IF($A6/(TODAY()-1)&gt;1,"",SUMIFS(Zamowienia!$K:$K,Zamowienia!$M:$M,"Osobiście/tel.",Zamowienia!$L:$L,"Mall.cz-*",Zamowienia!$D:$D,"1",Zamowienia!$G:$G,$A6,Zamowienia!$O:$O,"Shumee"))</f>
        <v>0</v>
      </c>
      <c r="D6" s="16">
        <f ca="1">IF($A6/(TODAY()-1)&gt;1,"",SUMIFS(Zamowienia!$K:$K,Zamowienia!$M:$M,"Osobiście/tel.",Zamowienia!$L:$L,"Mall.cz-*",Zamowienia!$D:$D,"1",Zamowienia!$G:$G,$A6,Zamowienia!$O:$O,"Greatstore"))</f>
        <v>0</v>
      </c>
      <c r="E6" s="17">
        <f t="shared" ca="1" si="4"/>
        <v>0</v>
      </c>
      <c r="F6" s="18" t="str">
        <f t="shared" ca="1" si="0"/>
        <v/>
      </c>
      <c r="G6" s="16">
        <f ca="1">IF($A6/(TODAY()-1)&gt;1,"",SUMIFS(Zamowienia!$K:$K,Zamowienia!$M:$M,"Osobiście/tel.",Zamowienia!$L:$L,"Mall.sk-*",Zamowienia!$D:$D,"1",Zamowienia!$G:$G,$A6,Zamowienia!$O:$O,"Shumee"))</f>
        <v>0</v>
      </c>
      <c r="H6" s="19">
        <f ca="1">IF($A6/(TODAY()-1)&gt;1,"",SUMIFS(Zamowienia!$K:$K,Zamowienia!$M:$M,"Osobiście/tel.",Zamowienia!$L:$L,"Mall.sk-*",Zamowienia!$D:$D,"1",Zamowienia!$G:$G,$A6,Zamowienia!$O:$O,"Greatstore"))</f>
        <v>0</v>
      </c>
      <c r="I6" s="17">
        <f t="shared" ca="1" si="5"/>
        <v>0</v>
      </c>
      <c r="J6" s="18" t="str">
        <f t="shared" ca="1" si="1"/>
        <v/>
      </c>
      <c r="K6" s="16">
        <f ca="1">IF($A6/(TODAY()-1)&gt;1,"",SUMIFS(Zamowienia!$K:$K,Zamowienia!$M:$M,"Osobiście/tel.",Zamowienia!$L:$L,"Mimovrste.com-*",Zamowienia!$D:$D,"1",Zamowienia!$G:$G,$A6,Zamowienia!$O:$O,"Shumee"))</f>
        <v>0</v>
      </c>
      <c r="L6" s="19">
        <f ca="1">IF($A6/(TODAY()-1)&gt;1,"",SUMIFS(Zamowienia!$K:$K,Zamowienia!$M:$M,"Osobiście/tel.",Zamowienia!$L:$L,"Mimovrste.com-*",Zamowienia!$D:$D,"1",Zamowienia!$G:$G,$A6,Zamowienia!$O:$O,"Greatstore"))</f>
        <v>0</v>
      </c>
      <c r="M6" s="17">
        <f t="shared" ca="1" si="6"/>
        <v>0</v>
      </c>
      <c r="N6" s="18" t="str">
        <f t="shared" ca="1" si="2"/>
        <v/>
      </c>
      <c r="O6" s="16">
        <f ca="1">IF($A6/(TODAY()-1)&gt;1,"",SUMIFS(Zamowienia!$K:$K,Zamowienia!$M:$M,"Osobiście/tel.",Zamowienia!$L:$L,"shumee*",Zamowienia!$D:$D,"1",Zamowienia!$G:$G,$A6,Zamowienia!N:N,"Węgry"))</f>
        <v>0</v>
      </c>
      <c r="P6" s="19">
        <f ca="1">IF($A6/(TODAY()-1)&gt;1,"",SUMIFS(Zamowienia!$K:$K,Zamowienia!$M:$M,"Osobiście/tel.",Zamowienia!$L:$L,"Mall.hu-*",Zamowienia!$D:$D,"1",Zamowienia!$G:$G,$A6,Zamowienia!$O:$O,"Greatstore"))</f>
        <v>0</v>
      </c>
      <c r="Q6" s="17">
        <f t="shared" ca="1" si="7"/>
        <v>0</v>
      </c>
      <c r="R6" s="18" t="str">
        <f t="shared" ca="1" si="3"/>
        <v/>
      </c>
      <c r="S6" s="20">
        <f t="shared" ca="1" si="8"/>
        <v>0</v>
      </c>
      <c r="T6" s="20">
        <f t="shared" ca="1" si="8"/>
        <v>0</v>
      </c>
      <c r="U6" s="21">
        <f t="shared" ca="1" si="9"/>
        <v>0</v>
      </c>
      <c r="V6" s="18" t="str">
        <f t="shared" ca="1" si="10"/>
        <v/>
      </c>
      <c r="X6" t="s">
        <v>9</v>
      </c>
      <c r="Y6" s="8">
        <f>ROUND(Y5/Roboczy!$B$2,2)</f>
        <v>18333.330000000002</v>
      </c>
      <c r="Z6" s="8" t="e">
        <f ca="1">AVERAGEIF(I2:I31,"&lt;&gt;0")</f>
        <v>#DIV/0!</v>
      </c>
      <c r="AA6" s="7" t="e">
        <f ca="1">Z6/Y6</f>
        <v>#DIV/0!</v>
      </c>
      <c r="AB6" s="22">
        <f ca="1">Z5-AB5</f>
        <v>-394817.39879999997</v>
      </c>
      <c r="AC6" s="7" t="e">
        <f ca="1">Z6/AC5-1</f>
        <v>#DIV/0!</v>
      </c>
    </row>
    <row r="7" spans="1:29" ht="18.75" x14ac:dyDescent="0.25">
      <c r="A7" s="2">
        <v>45083</v>
      </c>
      <c r="B7" s="4" t="s">
        <v>11</v>
      </c>
      <c r="C7" s="16">
        <f ca="1">IF($A7/(TODAY()-1)&gt;1,"",SUMIFS(Zamowienia!$K:$K,Zamowienia!$M:$M,"Osobiście/tel.",Zamowienia!$L:$L,"Mall.cz-*",Zamowienia!$D:$D,"1",Zamowienia!$G:$G,$A7,Zamowienia!$O:$O,"Shumee"))</f>
        <v>0</v>
      </c>
      <c r="D7" s="16">
        <f ca="1">IF($A7/(TODAY()-1)&gt;1,"",SUMIFS(Zamowienia!$K:$K,Zamowienia!$M:$M,"Osobiście/tel.",Zamowienia!$L:$L,"Mall.cz-*",Zamowienia!$D:$D,"1",Zamowienia!$G:$G,$A7,Zamowienia!$O:$O,"Greatstore"))</f>
        <v>0</v>
      </c>
      <c r="E7" s="17">
        <f t="shared" ca="1" si="4"/>
        <v>0</v>
      </c>
      <c r="F7" s="18" t="str">
        <f t="shared" ca="1" si="0"/>
        <v/>
      </c>
      <c r="G7" s="16">
        <f ca="1">IF($A7/(TODAY()-1)&gt;1,"",SUMIFS(Zamowienia!$K:$K,Zamowienia!$M:$M,"Osobiście/tel.",Zamowienia!$L:$L,"Mall.sk-*",Zamowienia!$D:$D,"1",Zamowienia!$G:$G,$A7,Zamowienia!$O:$O,"Shumee"))</f>
        <v>0</v>
      </c>
      <c r="H7" s="19">
        <f ca="1">IF($A7/(TODAY()-1)&gt;1,"",SUMIFS(Zamowienia!$K:$K,Zamowienia!$M:$M,"Osobiście/tel.",Zamowienia!$L:$L,"Mall.sk-*",Zamowienia!$D:$D,"1",Zamowienia!$G:$G,$A7,Zamowienia!$O:$O,"Greatstore"))</f>
        <v>0</v>
      </c>
      <c r="I7" s="17">
        <f t="shared" ca="1" si="5"/>
        <v>0</v>
      </c>
      <c r="J7" s="18" t="str">
        <f t="shared" ca="1" si="1"/>
        <v/>
      </c>
      <c r="K7" s="16">
        <f ca="1">IF($A7/(TODAY()-1)&gt;1,"",SUMIFS(Zamowienia!$K:$K,Zamowienia!$M:$M,"Osobiście/tel.",Zamowienia!$L:$L,"Mimovrste.com-*",Zamowienia!$D:$D,"1",Zamowienia!$G:$G,$A7,Zamowienia!$O:$O,"Shumee"))</f>
        <v>0</v>
      </c>
      <c r="L7" s="19">
        <f ca="1">IF($A7/(TODAY()-1)&gt;1,"",SUMIFS(Zamowienia!$K:$K,Zamowienia!$M:$M,"Osobiście/tel.",Zamowienia!$L:$L,"Mimovrste.com-*",Zamowienia!$D:$D,"1",Zamowienia!$G:$G,$A7,Zamowienia!$O:$O,"Greatstore"))</f>
        <v>0</v>
      </c>
      <c r="M7" s="17">
        <f t="shared" ca="1" si="6"/>
        <v>0</v>
      </c>
      <c r="N7" s="18" t="str">
        <f t="shared" ca="1" si="2"/>
        <v/>
      </c>
      <c r="O7" s="16">
        <f ca="1">IF($A7/(TODAY()-1)&gt;1,"",SUMIFS(Zamowienia!$K:$K,Zamowienia!$M:$M,"Osobiście/tel.",Zamowienia!$L:$L,"shumee*",Zamowienia!$D:$D,"1",Zamowienia!$G:$G,$A7,Zamowienia!N:N,"Węgry"))</f>
        <v>0</v>
      </c>
      <c r="P7" s="19">
        <f ca="1">IF($A7/(TODAY()-1)&gt;1,"",SUMIFS(Zamowienia!$K:$K,Zamowienia!$M:$M,"Osobiście/tel.",Zamowienia!$L:$L,"Mall.hu-*",Zamowienia!$D:$D,"1",Zamowienia!$G:$G,$A7,Zamowienia!$O:$O,"Greatstore"))</f>
        <v>0</v>
      </c>
      <c r="Q7" s="17">
        <f t="shared" ca="1" si="7"/>
        <v>0</v>
      </c>
      <c r="R7" s="18" t="str">
        <f t="shared" ca="1" si="3"/>
        <v/>
      </c>
      <c r="S7" s="20">
        <f t="shared" ca="1" si="8"/>
        <v>0</v>
      </c>
      <c r="T7" s="20">
        <f t="shared" ca="1" si="8"/>
        <v>0</v>
      </c>
      <c r="U7" s="21">
        <f t="shared" ca="1" si="9"/>
        <v>0</v>
      </c>
      <c r="V7" s="18" t="str">
        <f t="shared" ca="1" si="10"/>
        <v/>
      </c>
      <c r="X7" t="s">
        <v>33</v>
      </c>
      <c r="Z7" t="s">
        <v>4</v>
      </c>
      <c r="AA7" s="7" t="s">
        <v>5</v>
      </c>
      <c r="AB7" s="22"/>
    </row>
    <row r="8" spans="1:29" ht="18.75" x14ac:dyDescent="0.25">
      <c r="A8" s="2">
        <v>45084</v>
      </c>
      <c r="B8" s="4" t="s">
        <v>13</v>
      </c>
      <c r="C8" s="16">
        <f ca="1">IF($A8/(TODAY()-1)&gt;1,"",SUMIFS(Zamowienia!$K:$K,Zamowienia!$M:$M,"Osobiście/tel.",Zamowienia!$L:$L,"Mall.cz-*",Zamowienia!$D:$D,"1",Zamowienia!$G:$G,$A8,Zamowienia!$O:$O,"Shumee"))</f>
        <v>0</v>
      </c>
      <c r="D8" s="16">
        <f ca="1">IF($A8/(TODAY()-1)&gt;1,"",SUMIFS(Zamowienia!$K:$K,Zamowienia!$M:$M,"Osobiście/tel.",Zamowienia!$L:$L,"Mall.cz-*",Zamowienia!$D:$D,"1",Zamowienia!$G:$G,$A8,Zamowienia!$O:$O,"Greatstore"))</f>
        <v>0</v>
      </c>
      <c r="E8" s="17">
        <f t="shared" ca="1" si="4"/>
        <v>0</v>
      </c>
      <c r="F8" s="18" t="str">
        <f t="shared" ca="1" si="0"/>
        <v/>
      </c>
      <c r="G8" s="16">
        <f ca="1">IF($A8/(TODAY()-1)&gt;1,"",SUMIFS(Zamowienia!$K:$K,Zamowienia!$M:$M,"Osobiście/tel.",Zamowienia!$L:$L,"Mall.sk-*",Zamowienia!$D:$D,"1",Zamowienia!$G:$G,$A8,Zamowienia!$O:$O,"Shumee"))</f>
        <v>0</v>
      </c>
      <c r="H8" s="19">
        <f ca="1">IF($A8/(TODAY()-1)&gt;1,"",SUMIFS(Zamowienia!$K:$K,Zamowienia!$M:$M,"Osobiście/tel.",Zamowienia!$L:$L,"Mall.sk-*",Zamowienia!$D:$D,"1",Zamowienia!$G:$G,$A8,Zamowienia!$O:$O,"Greatstore"))</f>
        <v>0</v>
      </c>
      <c r="I8" s="17">
        <f t="shared" ca="1" si="5"/>
        <v>0</v>
      </c>
      <c r="J8" s="18" t="str">
        <f t="shared" ca="1" si="1"/>
        <v/>
      </c>
      <c r="K8" s="16">
        <f ca="1">IF($A8/(TODAY()-1)&gt;1,"",SUMIFS(Zamowienia!$K:$K,Zamowienia!$M:$M,"Osobiście/tel.",Zamowienia!$L:$L,"Mimovrste.com-*",Zamowienia!$D:$D,"1",Zamowienia!$G:$G,$A8,Zamowienia!$O:$O,"Shumee"))</f>
        <v>0</v>
      </c>
      <c r="L8" s="19">
        <f ca="1">IF($A8/(TODAY()-1)&gt;1,"",SUMIFS(Zamowienia!$K:$K,Zamowienia!$M:$M,"Osobiście/tel.",Zamowienia!$L:$L,"Mimovrste.com-*",Zamowienia!$D:$D,"1",Zamowienia!$G:$G,$A8,Zamowienia!$O:$O,"Greatstore"))</f>
        <v>0</v>
      </c>
      <c r="M8" s="17">
        <f t="shared" ca="1" si="6"/>
        <v>0</v>
      </c>
      <c r="N8" s="18" t="str">
        <f t="shared" ca="1" si="2"/>
        <v/>
      </c>
      <c r="O8" s="16">
        <f ca="1">IF($A8/(TODAY()-1)&gt;1,"",SUMIFS(Zamowienia!$K:$K,Zamowienia!$M:$M,"Osobiście/tel.",Zamowienia!$L:$L,"shumee*",Zamowienia!$D:$D,"1",Zamowienia!$G:$G,$A8,Zamowienia!N:N,"Węgry"))</f>
        <v>0</v>
      </c>
      <c r="P8" s="19">
        <f ca="1">IF($A8/(TODAY()-1)&gt;1,"",SUMIFS(Zamowienia!$K:$K,Zamowienia!$M:$M,"Osobiście/tel.",Zamowienia!$L:$L,"Mall.hu-*",Zamowienia!$D:$D,"1",Zamowienia!$G:$G,$A8,Zamowienia!$O:$O,"Greatstore"))</f>
        <v>0</v>
      </c>
      <c r="Q8" s="17">
        <f t="shared" ca="1" si="7"/>
        <v>0</v>
      </c>
      <c r="R8" s="18" t="str">
        <f t="shared" ca="1" si="3"/>
        <v/>
      </c>
      <c r="S8" s="20">
        <f t="shared" ca="1" si="8"/>
        <v>0</v>
      </c>
      <c r="T8" s="20">
        <f t="shared" ca="1" si="8"/>
        <v>0</v>
      </c>
      <c r="U8" s="21">
        <f t="shared" ca="1" si="9"/>
        <v>0</v>
      </c>
      <c r="V8" s="18" t="str">
        <f t="shared" ca="1" si="10"/>
        <v/>
      </c>
      <c r="X8" t="s">
        <v>7</v>
      </c>
      <c r="Y8" s="8">
        <v>600000</v>
      </c>
      <c r="Z8" s="8">
        <f ca="1">SUM(M$2:M$31)</f>
        <v>0</v>
      </c>
      <c r="AA8" s="7">
        <f ca="1">Z8/Y8</f>
        <v>0</v>
      </c>
      <c r="AB8" s="22">
        <v>652412.01089999988</v>
      </c>
      <c r="AC8" s="8">
        <f>AB8/Roboczy!$B$1</f>
        <v>21045.548738709673</v>
      </c>
    </row>
    <row r="9" spans="1:29" ht="18.75" x14ac:dyDescent="0.25">
      <c r="A9" s="2">
        <v>45085</v>
      </c>
      <c r="B9" s="4" t="s">
        <v>3</v>
      </c>
      <c r="C9" s="16">
        <f ca="1">IF($A9/(TODAY()-1)&gt;1,"",SUMIFS(Zamowienia!$K:$K,Zamowienia!$M:$M,"Osobiście/tel.",Zamowienia!$L:$L,"Mall.cz-*",Zamowienia!$D:$D,"1",Zamowienia!$G:$G,$A9,Zamowienia!$O:$O,"Shumee"))</f>
        <v>0</v>
      </c>
      <c r="D9" s="16">
        <f ca="1">IF($A9/(TODAY()-1)&gt;1,"",SUMIFS(Zamowienia!$K:$K,Zamowienia!$M:$M,"Osobiście/tel.",Zamowienia!$L:$L,"Mall.cz-*",Zamowienia!$D:$D,"1",Zamowienia!$G:$G,$A9,Zamowienia!$O:$O,"Greatstore"))</f>
        <v>0</v>
      </c>
      <c r="E9" s="17">
        <f t="shared" ca="1" si="4"/>
        <v>0</v>
      </c>
      <c r="F9" s="18" t="str">
        <f t="shared" ca="1" si="0"/>
        <v/>
      </c>
      <c r="G9" s="16">
        <f ca="1">IF($A9/(TODAY()-1)&gt;1,"",SUMIFS(Zamowienia!$K:$K,Zamowienia!$M:$M,"Osobiście/tel.",Zamowienia!$L:$L,"Mall.sk-*",Zamowienia!$D:$D,"1",Zamowienia!$G:$G,$A9,Zamowienia!$O:$O,"Shumee"))</f>
        <v>0</v>
      </c>
      <c r="H9" s="19">
        <f ca="1">IF($A9/(TODAY()-1)&gt;1,"",SUMIFS(Zamowienia!$K:$K,Zamowienia!$M:$M,"Osobiście/tel.",Zamowienia!$L:$L,"Mall.sk-*",Zamowienia!$D:$D,"1",Zamowienia!$G:$G,$A9,Zamowienia!$O:$O,"Greatstore"))</f>
        <v>0</v>
      </c>
      <c r="I9" s="17">
        <f t="shared" ca="1" si="5"/>
        <v>0</v>
      </c>
      <c r="J9" s="18" t="str">
        <f t="shared" ca="1" si="1"/>
        <v/>
      </c>
      <c r="K9" s="16">
        <f ca="1">IF($A9/(TODAY()-1)&gt;1,"",SUMIFS(Zamowienia!$K:$K,Zamowienia!$M:$M,"Osobiście/tel.",Zamowienia!$L:$L,"Mimovrste.com-*",Zamowienia!$D:$D,"1",Zamowienia!$G:$G,$A9,Zamowienia!$O:$O,"Shumee"))</f>
        <v>0</v>
      </c>
      <c r="L9" s="19">
        <f ca="1">IF($A9/(TODAY()-1)&gt;1,"",SUMIFS(Zamowienia!$K:$K,Zamowienia!$M:$M,"Osobiście/tel.",Zamowienia!$L:$L,"Mimovrste.com-*",Zamowienia!$D:$D,"1",Zamowienia!$G:$G,$A9,Zamowienia!$O:$O,"Greatstore"))</f>
        <v>0</v>
      </c>
      <c r="M9" s="17">
        <f t="shared" ca="1" si="6"/>
        <v>0</v>
      </c>
      <c r="N9" s="18" t="str">
        <f t="shared" ca="1" si="2"/>
        <v/>
      </c>
      <c r="O9" s="16">
        <f ca="1">IF($A9/(TODAY()-1)&gt;1,"",SUMIFS(Zamowienia!$K:$K,Zamowienia!$M:$M,"Osobiście/tel.",Zamowienia!$L:$L,"shumee*",Zamowienia!$D:$D,"1",Zamowienia!$G:$G,$A9,Zamowienia!N:N,"Węgry"))</f>
        <v>0</v>
      </c>
      <c r="P9" s="19">
        <f ca="1">IF($A9/(TODAY()-1)&gt;1,"",SUMIFS(Zamowienia!$K:$K,Zamowienia!$M:$M,"Osobiście/tel.",Zamowienia!$L:$L,"Mall.hu-*",Zamowienia!$D:$D,"1",Zamowienia!$G:$G,$A9,Zamowienia!$O:$O,"Greatstore"))</f>
        <v>0</v>
      </c>
      <c r="Q9" s="17">
        <f t="shared" ca="1" si="7"/>
        <v>0</v>
      </c>
      <c r="R9" s="18" t="str">
        <f t="shared" ca="1" si="3"/>
        <v/>
      </c>
      <c r="S9" s="20">
        <f t="shared" ca="1" si="8"/>
        <v>0</v>
      </c>
      <c r="T9" s="20">
        <f t="shared" ca="1" si="8"/>
        <v>0</v>
      </c>
      <c r="U9" s="21">
        <f t="shared" ca="1" si="9"/>
        <v>0</v>
      </c>
      <c r="V9" s="18" t="str">
        <f t="shared" ca="1" si="10"/>
        <v/>
      </c>
      <c r="X9" t="s">
        <v>9</v>
      </c>
      <c r="Y9" s="8">
        <f>ROUND(Y8/Roboczy!$B$2,2)</f>
        <v>20000</v>
      </c>
      <c r="Z9" s="8" t="e">
        <f ca="1">AVERAGEIF(M2:M31,"&lt;&gt;0")</f>
        <v>#DIV/0!</v>
      </c>
      <c r="AA9" s="7" t="e">
        <f ca="1">Z9/Y9</f>
        <v>#DIV/0!</v>
      </c>
      <c r="AB9" s="22">
        <f ca="1">Z8-AB8</f>
        <v>-652412.01089999988</v>
      </c>
      <c r="AC9" s="7" t="e">
        <f ca="1">Z9/AC8-1</f>
        <v>#DIV/0!</v>
      </c>
    </row>
    <row r="10" spans="1:29" ht="18.75" x14ac:dyDescent="0.25">
      <c r="A10" s="2">
        <v>45086</v>
      </c>
      <c r="B10" s="4" t="s">
        <v>6</v>
      </c>
      <c r="C10" s="16">
        <f ca="1">IF($A10/(TODAY()-1)&gt;1,"",SUMIFS(Zamowienia!$K:$K,Zamowienia!$M:$M,"Osobiście/tel.",Zamowienia!$L:$L,"Mall.cz-*",Zamowienia!$D:$D,"1",Zamowienia!$G:$G,$A10,Zamowienia!$O:$O,"Shumee"))</f>
        <v>0</v>
      </c>
      <c r="D10" s="16">
        <f ca="1">IF($A10/(TODAY()-1)&gt;1,"",SUMIFS(Zamowienia!$K:$K,Zamowienia!$M:$M,"Osobiście/tel.",Zamowienia!$L:$L,"Mall.cz-*",Zamowienia!$D:$D,"1",Zamowienia!$G:$G,$A10,Zamowienia!$O:$O,"Greatstore"))</f>
        <v>0</v>
      </c>
      <c r="E10" s="17">
        <f t="shared" ca="1" si="4"/>
        <v>0</v>
      </c>
      <c r="F10" s="18" t="str">
        <f t="shared" ca="1" si="0"/>
        <v/>
      </c>
      <c r="G10" s="16">
        <f ca="1">IF($A10/(TODAY()-1)&gt;1,"",SUMIFS(Zamowienia!$K:$K,Zamowienia!$M:$M,"Osobiście/tel.",Zamowienia!$L:$L,"Mall.sk-*",Zamowienia!$D:$D,"1",Zamowienia!$G:$G,$A10,Zamowienia!$O:$O,"Shumee"))</f>
        <v>0</v>
      </c>
      <c r="H10" s="19">
        <f ca="1">IF($A10/(TODAY()-1)&gt;1,"",SUMIFS(Zamowienia!$K:$K,Zamowienia!$M:$M,"Osobiście/tel.",Zamowienia!$L:$L,"Mall.sk-*",Zamowienia!$D:$D,"1",Zamowienia!$G:$G,$A10,Zamowienia!$O:$O,"Greatstore"))</f>
        <v>0</v>
      </c>
      <c r="I10" s="17">
        <f t="shared" ca="1" si="5"/>
        <v>0</v>
      </c>
      <c r="J10" s="18" t="str">
        <f t="shared" ca="1" si="1"/>
        <v/>
      </c>
      <c r="K10" s="16">
        <f ca="1">IF($A10/(TODAY()-1)&gt;1,"",SUMIFS(Zamowienia!$K:$K,Zamowienia!$M:$M,"Osobiście/tel.",Zamowienia!$L:$L,"Mimovrste.com-*",Zamowienia!$D:$D,"1",Zamowienia!$G:$G,$A10,Zamowienia!$O:$O,"Shumee"))</f>
        <v>0</v>
      </c>
      <c r="L10" s="19">
        <f ca="1">IF($A10/(TODAY()-1)&gt;1,"",SUMIFS(Zamowienia!$K:$K,Zamowienia!$M:$M,"Osobiście/tel.",Zamowienia!$L:$L,"Mimovrste.com-*",Zamowienia!$D:$D,"1",Zamowienia!$G:$G,$A10,Zamowienia!$O:$O,"Greatstore"))</f>
        <v>0</v>
      </c>
      <c r="M10" s="17">
        <f t="shared" ca="1" si="6"/>
        <v>0</v>
      </c>
      <c r="N10" s="18" t="str">
        <f t="shared" ca="1" si="2"/>
        <v/>
      </c>
      <c r="O10" s="16">
        <f ca="1">IF($A10/(TODAY()-1)&gt;1,"",SUMIFS(Zamowienia!$K:$K,Zamowienia!$M:$M,"Osobiście/tel.",Zamowienia!$L:$L,"shumee*",Zamowienia!$D:$D,"1",Zamowienia!$G:$G,$A10,Zamowienia!N:N,"Węgry"))</f>
        <v>0</v>
      </c>
      <c r="P10" s="19">
        <f ca="1">IF($A10/(TODAY()-1)&gt;1,"",SUMIFS(Zamowienia!$K:$K,Zamowienia!$M:$M,"Osobiście/tel.",Zamowienia!$L:$L,"Mall.hu-*",Zamowienia!$D:$D,"1",Zamowienia!$G:$G,$A10,Zamowienia!$O:$O,"Greatstore"))</f>
        <v>0</v>
      </c>
      <c r="Q10" s="17">
        <f t="shared" ca="1" si="7"/>
        <v>0</v>
      </c>
      <c r="R10" s="18" t="str">
        <f t="shared" ca="1" si="3"/>
        <v/>
      </c>
      <c r="S10" s="20">
        <f t="shared" ca="1" si="8"/>
        <v>0</v>
      </c>
      <c r="T10" s="20">
        <f t="shared" ca="1" si="8"/>
        <v>0</v>
      </c>
      <c r="U10" s="21">
        <f t="shared" ca="1" si="9"/>
        <v>0</v>
      </c>
      <c r="V10" s="18" t="str">
        <f t="shared" ca="1" si="10"/>
        <v/>
      </c>
      <c r="X10" t="s">
        <v>34</v>
      </c>
      <c r="Z10" t="s">
        <v>4</v>
      </c>
      <c r="AA10" s="7" t="s">
        <v>5</v>
      </c>
      <c r="AB10" s="22"/>
    </row>
    <row r="11" spans="1:29" ht="18.75" x14ac:dyDescent="0.25">
      <c r="A11" s="2">
        <v>45087</v>
      </c>
      <c r="B11" s="9" t="s">
        <v>8</v>
      </c>
      <c r="C11" s="16">
        <f ca="1">IF($A11/(TODAY()-1)&gt;1,"",SUMIFS(Zamowienia!$K:$K,Zamowienia!$M:$M,"Osobiście/tel.",Zamowienia!$L:$L,"Mall.cz-*",Zamowienia!$D:$D,"1",Zamowienia!$G:$G,$A11,Zamowienia!$O:$O,"Shumee"))</f>
        <v>0</v>
      </c>
      <c r="D11" s="16">
        <f ca="1">IF($A11/(TODAY()-1)&gt;1,"",SUMIFS(Zamowienia!$K:$K,Zamowienia!$M:$M,"Osobiście/tel.",Zamowienia!$L:$L,"Mall.cz-*",Zamowienia!$D:$D,"1",Zamowienia!$G:$G,$A11,Zamowienia!$O:$O,"Greatstore"))</f>
        <v>0</v>
      </c>
      <c r="E11" s="17">
        <f t="shared" ca="1" si="4"/>
        <v>0</v>
      </c>
      <c r="F11" s="18" t="str">
        <f t="shared" ca="1" si="0"/>
        <v/>
      </c>
      <c r="G11" s="16">
        <f ca="1">IF($A11/(TODAY()-1)&gt;1,"",SUMIFS(Zamowienia!$K:$K,Zamowienia!$M:$M,"Osobiście/tel.",Zamowienia!$L:$L,"Mall.sk-*",Zamowienia!$D:$D,"1",Zamowienia!$G:$G,$A11,Zamowienia!$O:$O,"Shumee"))</f>
        <v>0</v>
      </c>
      <c r="H11" s="19">
        <f ca="1">IF($A11/(TODAY()-1)&gt;1,"",SUMIFS(Zamowienia!$K:$K,Zamowienia!$M:$M,"Osobiście/tel.",Zamowienia!$L:$L,"Mall.sk-*",Zamowienia!$D:$D,"1",Zamowienia!$G:$G,$A11,Zamowienia!$O:$O,"Greatstore"))</f>
        <v>0</v>
      </c>
      <c r="I11" s="17">
        <f t="shared" ca="1" si="5"/>
        <v>0</v>
      </c>
      <c r="J11" s="18" t="str">
        <f t="shared" ca="1" si="1"/>
        <v/>
      </c>
      <c r="K11" s="16">
        <f ca="1">IF($A11/(TODAY()-1)&gt;1,"",SUMIFS(Zamowienia!$K:$K,Zamowienia!$M:$M,"Osobiście/tel.",Zamowienia!$L:$L,"Mimovrste.com-*",Zamowienia!$D:$D,"1",Zamowienia!$G:$G,$A11,Zamowienia!$O:$O,"Shumee"))</f>
        <v>0</v>
      </c>
      <c r="L11" s="19">
        <f ca="1">IF($A11/(TODAY()-1)&gt;1,"",SUMIFS(Zamowienia!$K:$K,Zamowienia!$M:$M,"Osobiście/tel.",Zamowienia!$L:$L,"Mimovrste.com-*",Zamowienia!$D:$D,"1",Zamowienia!$G:$G,$A11,Zamowienia!$O:$O,"Greatstore"))</f>
        <v>0</v>
      </c>
      <c r="M11" s="17">
        <f t="shared" ca="1" si="6"/>
        <v>0</v>
      </c>
      <c r="N11" s="18" t="str">
        <f t="shared" ca="1" si="2"/>
        <v/>
      </c>
      <c r="O11" s="16">
        <f ca="1">IF($A11/(TODAY()-1)&gt;1,"",SUMIFS(Zamowienia!$K:$K,Zamowienia!$M:$M,"Osobiście/tel.",Zamowienia!$L:$L,"shumee*",Zamowienia!$D:$D,"1",Zamowienia!$G:$G,$A11,Zamowienia!N:N,"Węgry"))</f>
        <v>0</v>
      </c>
      <c r="P11" s="19">
        <f ca="1">IF($A11/(TODAY()-1)&gt;1,"",SUMIFS(Zamowienia!$K:$K,Zamowienia!$M:$M,"Osobiście/tel.",Zamowienia!$L:$L,"Mall.hu-*",Zamowienia!$D:$D,"1",Zamowienia!$G:$G,$A11,Zamowienia!$O:$O,"Greatstore"))</f>
        <v>0</v>
      </c>
      <c r="Q11" s="17">
        <f t="shared" ca="1" si="7"/>
        <v>0</v>
      </c>
      <c r="R11" s="18" t="str">
        <f t="shared" ca="1" si="3"/>
        <v/>
      </c>
      <c r="S11" s="20">
        <f t="shared" ca="1" si="8"/>
        <v>0</v>
      </c>
      <c r="T11" s="20">
        <f t="shared" ca="1" si="8"/>
        <v>0</v>
      </c>
      <c r="U11" s="21">
        <f t="shared" ca="1" si="9"/>
        <v>0</v>
      </c>
      <c r="V11" s="18" t="str">
        <f t="shared" ca="1" si="10"/>
        <v/>
      </c>
      <c r="X11" t="s">
        <v>7</v>
      </c>
      <c r="Y11" s="8">
        <v>175000</v>
      </c>
      <c r="Z11" s="8">
        <f ca="1">SUM(Q$2:Q$31)</f>
        <v>0</v>
      </c>
      <c r="AA11" s="7">
        <f ca="1">Z11/Y11</f>
        <v>0</v>
      </c>
      <c r="AB11" s="22">
        <v>139539.72000000003</v>
      </c>
      <c r="AC11" s="8">
        <f>AB11/Roboczy!$B$1</f>
        <v>4501.2812903225813</v>
      </c>
    </row>
    <row r="12" spans="1:29" ht="18.75" x14ac:dyDescent="0.25">
      <c r="A12" s="2">
        <v>45088</v>
      </c>
      <c r="B12" s="9" t="s">
        <v>10</v>
      </c>
      <c r="C12" s="16">
        <f ca="1">IF($A12/(TODAY()-1)&gt;1,"",SUMIFS(Zamowienia!$K:$K,Zamowienia!$M:$M,"Osobiście/tel.",Zamowienia!$L:$L,"Mall.cz-*",Zamowienia!$D:$D,"1",Zamowienia!$G:$G,$A12,Zamowienia!$O:$O,"Shumee"))</f>
        <v>0</v>
      </c>
      <c r="D12" s="16">
        <f ca="1">IF($A12/(TODAY()-1)&gt;1,"",SUMIFS(Zamowienia!$K:$K,Zamowienia!$M:$M,"Osobiście/tel.",Zamowienia!$L:$L,"Mall.cz-*",Zamowienia!$D:$D,"1",Zamowienia!$G:$G,$A12,Zamowienia!$O:$O,"Greatstore"))</f>
        <v>0</v>
      </c>
      <c r="E12" s="17">
        <f t="shared" ca="1" si="4"/>
        <v>0</v>
      </c>
      <c r="F12" s="18" t="str">
        <f t="shared" ca="1" si="0"/>
        <v/>
      </c>
      <c r="G12" s="16">
        <f ca="1">IF($A12/(TODAY()-1)&gt;1,"",SUMIFS(Zamowienia!$K:$K,Zamowienia!$M:$M,"Osobiście/tel.",Zamowienia!$L:$L,"Mall.sk-*",Zamowienia!$D:$D,"1",Zamowienia!$G:$G,$A12,Zamowienia!$O:$O,"Shumee"))</f>
        <v>0</v>
      </c>
      <c r="H12" s="19">
        <f ca="1">IF($A12/(TODAY()-1)&gt;1,"",SUMIFS(Zamowienia!$K:$K,Zamowienia!$M:$M,"Osobiście/tel.",Zamowienia!$L:$L,"Mall.sk-*",Zamowienia!$D:$D,"1",Zamowienia!$G:$G,$A12,Zamowienia!$O:$O,"Greatstore"))</f>
        <v>0</v>
      </c>
      <c r="I12" s="17">
        <f t="shared" ca="1" si="5"/>
        <v>0</v>
      </c>
      <c r="J12" s="18" t="str">
        <f t="shared" ca="1" si="1"/>
        <v/>
      </c>
      <c r="K12" s="16">
        <f ca="1">IF($A12/(TODAY()-1)&gt;1,"",SUMIFS(Zamowienia!$K:$K,Zamowienia!$M:$M,"Osobiście/tel.",Zamowienia!$L:$L,"Mimovrste.com-*",Zamowienia!$D:$D,"1",Zamowienia!$G:$G,$A12,Zamowienia!$O:$O,"Shumee"))</f>
        <v>0</v>
      </c>
      <c r="L12" s="19">
        <f ca="1">IF($A12/(TODAY()-1)&gt;1,"",SUMIFS(Zamowienia!$K:$K,Zamowienia!$M:$M,"Osobiście/tel.",Zamowienia!$L:$L,"Mimovrste.com-*",Zamowienia!$D:$D,"1",Zamowienia!$G:$G,$A12,Zamowienia!$O:$O,"Greatstore"))</f>
        <v>0</v>
      </c>
      <c r="M12" s="17">
        <f t="shared" ca="1" si="6"/>
        <v>0</v>
      </c>
      <c r="N12" s="18" t="str">
        <f t="shared" ca="1" si="2"/>
        <v/>
      </c>
      <c r="O12" s="16">
        <f ca="1">IF($A12/(TODAY()-1)&gt;1,"",SUMIFS(Zamowienia!$K:$K,Zamowienia!$M:$M,"Osobiście/tel.",Zamowienia!$L:$L,"shumee*",Zamowienia!$D:$D,"1",Zamowienia!$G:$G,$A12,Zamowienia!N:N,"Węgry"))</f>
        <v>0</v>
      </c>
      <c r="P12" s="19">
        <f ca="1">IF($A12/(TODAY()-1)&gt;1,"",SUMIFS(Zamowienia!$K:$K,Zamowienia!$M:$M,"Osobiście/tel.",Zamowienia!$L:$L,"Mall.hu-*",Zamowienia!$D:$D,"1",Zamowienia!$G:$G,$A12,Zamowienia!$O:$O,"Greatstore"))</f>
        <v>0</v>
      </c>
      <c r="Q12" s="17">
        <f t="shared" ca="1" si="7"/>
        <v>0</v>
      </c>
      <c r="R12" s="18" t="str">
        <f t="shared" ca="1" si="3"/>
        <v/>
      </c>
      <c r="S12" s="20">
        <f t="shared" ca="1" si="8"/>
        <v>0</v>
      </c>
      <c r="T12" s="20">
        <f t="shared" ca="1" si="8"/>
        <v>0</v>
      </c>
      <c r="U12" s="21">
        <f t="shared" ca="1" si="9"/>
        <v>0</v>
      </c>
      <c r="V12" s="18" t="str">
        <f t="shared" ca="1" si="10"/>
        <v/>
      </c>
      <c r="X12" t="s">
        <v>9</v>
      </c>
      <c r="Y12" s="8">
        <f>ROUND(Y11/Roboczy!$B$2,2)</f>
        <v>5833.33</v>
      </c>
      <c r="Z12" s="8" t="e">
        <f ca="1">AVERAGEIF(Q2:Q31,"&lt;&gt;0")</f>
        <v>#DIV/0!</v>
      </c>
      <c r="AA12" s="7" t="e">
        <f ca="1">Z12/Y12</f>
        <v>#DIV/0!</v>
      </c>
      <c r="AB12" s="22">
        <f ca="1">Z11-AB11</f>
        <v>-139539.72000000003</v>
      </c>
      <c r="AC12" s="7" t="e">
        <f ca="1">Z12/AC11-1</f>
        <v>#DIV/0!</v>
      </c>
    </row>
    <row r="13" spans="1:29" ht="18.75" x14ac:dyDescent="0.25">
      <c r="A13" s="2">
        <v>45089</v>
      </c>
      <c r="B13" s="10" t="s">
        <v>6</v>
      </c>
      <c r="C13" s="16">
        <f ca="1">IF($A13/(TODAY()-1)&gt;1,"",SUMIFS(Zamowienia!$K:$K,Zamowienia!$M:$M,"Osobiście/tel.",Zamowienia!$L:$L,"Mall.cz-*",Zamowienia!$D:$D,"1",Zamowienia!$G:$G,$A13,Zamowienia!$O:$O,"Shumee"))</f>
        <v>0</v>
      </c>
      <c r="D13" s="16">
        <f ca="1">IF($A13/(TODAY()-1)&gt;1,"",SUMIFS(Zamowienia!$K:$K,Zamowienia!$M:$M,"Osobiście/tel.",Zamowienia!$L:$L,"Mall.cz-*",Zamowienia!$D:$D,"1",Zamowienia!$G:$G,$A13,Zamowienia!$O:$O,"Greatstore"))</f>
        <v>0</v>
      </c>
      <c r="E13" s="17">
        <f t="shared" ca="1" si="4"/>
        <v>0</v>
      </c>
      <c r="F13" s="18" t="str">
        <f t="shared" ca="1" si="0"/>
        <v/>
      </c>
      <c r="G13" s="16">
        <f ca="1">IF($A13/(TODAY()-1)&gt;1,"",SUMIFS(Zamowienia!$K:$K,Zamowienia!$M:$M,"Osobiście/tel.",Zamowienia!$L:$L,"Mall.sk-*",Zamowienia!$D:$D,"1",Zamowienia!$G:$G,$A13,Zamowienia!$O:$O,"Shumee"))</f>
        <v>0</v>
      </c>
      <c r="H13" s="19">
        <f ca="1">IF($A13/(TODAY()-1)&gt;1,"",SUMIFS(Zamowienia!$K:$K,Zamowienia!$M:$M,"Osobiście/tel.",Zamowienia!$L:$L,"Mall.sk-*",Zamowienia!$D:$D,"1",Zamowienia!$G:$G,$A13,Zamowienia!$O:$O,"Greatstore"))</f>
        <v>0</v>
      </c>
      <c r="I13" s="17">
        <f t="shared" ca="1" si="5"/>
        <v>0</v>
      </c>
      <c r="J13" s="18" t="str">
        <f t="shared" ca="1" si="1"/>
        <v/>
      </c>
      <c r="K13" s="16">
        <f ca="1">IF($A13/(TODAY()-1)&gt;1,"",SUMIFS(Zamowienia!$K:$K,Zamowienia!$M:$M,"Osobiście/tel.",Zamowienia!$L:$L,"Mimovrste.com-*",Zamowienia!$D:$D,"1",Zamowienia!$G:$G,$A13,Zamowienia!$O:$O,"Shumee"))</f>
        <v>0</v>
      </c>
      <c r="L13" s="19">
        <f ca="1">IF($A13/(TODAY()-1)&gt;1,"",SUMIFS(Zamowienia!$K:$K,Zamowienia!$M:$M,"Osobiście/tel.",Zamowienia!$L:$L,"Mimovrste.com-*",Zamowienia!$D:$D,"1",Zamowienia!$G:$G,$A13,Zamowienia!$O:$O,"Greatstore"))</f>
        <v>0</v>
      </c>
      <c r="M13" s="17">
        <f t="shared" ca="1" si="6"/>
        <v>0</v>
      </c>
      <c r="N13" s="18" t="str">
        <f t="shared" ca="1" si="2"/>
        <v/>
      </c>
      <c r="O13" s="16">
        <f ca="1">IF($A13/(TODAY()-1)&gt;1,"",SUMIFS(Zamowienia!$K:$K,Zamowienia!$M:$M,"Osobiście/tel.",Zamowienia!$L:$L,"shumee*",Zamowienia!$D:$D,"1",Zamowienia!$G:$G,$A13,Zamowienia!N:N,"Węgry"))</f>
        <v>0</v>
      </c>
      <c r="P13" s="19">
        <f ca="1">IF($A13/(TODAY()-1)&gt;1,"",SUMIFS(Zamowienia!$K:$K,Zamowienia!$M:$M,"Osobiście/tel.",Zamowienia!$L:$L,"Mall.hu-*",Zamowienia!$D:$D,"1",Zamowienia!$G:$G,$A13,Zamowienia!$O:$O,"Greatstore"))</f>
        <v>0</v>
      </c>
      <c r="Q13" s="17">
        <f t="shared" ca="1" si="7"/>
        <v>0</v>
      </c>
      <c r="R13" s="18" t="str">
        <f t="shared" ca="1" si="3"/>
        <v/>
      </c>
      <c r="S13" s="20">
        <f t="shared" ca="1" si="8"/>
        <v>0</v>
      </c>
      <c r="T13" s="20">
        <f t="shared" ca="1" si="8"/>
        <v>0</v>
      </c>
      <c r="U13" s="21">
        <f t="shared" ca="1" si="9"/>
        <v>0</v>
      </c>
      <c r="V13" s="18" t="str">
        <f t="shared" ca="1" si="10"/>
        <v/>
      </c>
    </row>
    <row r="14" spans="1:29" ht="18.75" x14ac:dyDescent="0.25">
      <c r="A14" s="2">
        <v>45090</v>
      </c>
      <c r="B14" s="4" t="s">
        <v>11</v>
      </c>
      <c r="C14" s="16">
        <f ca="1">IF($A14/(TODAY()-1)&gt;1,"",SUMIFS(Zamowienia!$K:$K,Zamowienia!$M:$M,"Osobiście/tel.",Zamowienia!$L:$L,"Mall.cz-*",Zamowienia!$D:$D,"1",Zamowienia!$G:$G,$A14,Zamowienia!$O:$O,"Shumee"))</f>
        <v>0</v>
      </c>
      <c r="D14" s="16">
        <f ca="1">IF($A14/(TODAY()-1)&gt;1,"",SUMIFS(Zamowienia!$K:$K,Zamowienia!$M:$M,"Osobiście/tel.",Zamowienia!$L:$L,"Mall.cz-*",Zamowienia!$D:$D,"1",Zamowienia!$G:$G,$A14,Zamowienia!$O:$O,"Greatstore"))</f>
        <v>0</v>
      </c>
      <c r="E14" s="17">
        <f t="shared" ca="1" si="4"/>
        <v>0</v>
      </c>
      <c r="F14" s="18" t="str">
        <f t="shared" ca="1" si="0"/>
        <v/>
      </c>
      <c r="G14" s="16">
        <f ca="1">IF($A14/(TODAY()-1)&gt;1,"",SUMIFS(Zamowienia!$K:$K,Zamowienia!$M:$M,"Osobiście/tel.",Zamowienia!$L:$L,"Mall.sk-*",Zamowienia!$D:$D,"1",Zamowienia!$G:$G,$A14,Zamowienia!$O:$O,"Shumee"))</f>
        <v>0</v>
      </c>
      <c r="H14" s="19">
        <f ca="1">IF($A14/(TODAY()-1)&gt;1,"",SUMIFS(Zamowienia!$K:$K,Zamowienia!$M:$M,"Osobiście/tel.",Zamowienia!$L:$L,"Mall.sk-*",Zamowienia!$D:$D,"1",Zamowienia!$G:$G,$A14,Zamowienia!$O:$O,"Greatstore"))</f>
        <v>0</v>
      </c>
      <c r="I14" s="17">
        <f t="shared" ca="1" si="5"/>
        <v>0</v>
      </c>
      <c r="J14" s="18" t="str">
        <f t="shared" ca="1" si="1"/>
        <v/>
      </c>
      <c r="K14" s="16">
        <f ca="1">IF($A14/(TODAY()-1)&gt;1,"",SUMIFS(Zamowienia!$K:$K,Zamowienia!$M:$M,"Osobiście/tel.",Zamowienia!$L:$L,"Mimovrste.com-*",Zamowienia!$D:$D,"1",Zamowienia!$G:$G,$A14,Zamowienia!$O:$O,"Shumee"))</f>
        <v>0</v>
      </c>
      <c r="L14" s="19">
        <f ca="1">IF($A14/(TODAY()-1)&gt;1,"",SUMIFS(Zamowienia!$K:$K,Zamowienia!$M:$M,"Osobiście/tel.",Zamowienia!$L:$L,"Mimovrste.com-*",Zamowienia!$D:$D,"1",Zamowienia!$G:$G,$A14,Zamowienia!$O:$O,"Greatstore"))</f>
        <v>0</v>
      </c>
      <c r="M14" s="17">
        <f t="shared" ca="1" si="6"/>
        <v>0</v>
      </c>
      <c r="N14" s="18" t="str">
        <f t="shared" ca="1" si="2"/>
        <v/>
      </c>
      <c r="O14" s="16">
        <f ca="1">IF($A14/(TODAY()-1)&gt;1,"",SUMIFS(Zamowienia!$K:$K,Zamowienia!$M:$M,"Osobiście/tel.",Zamowienia!$L:$L,"shumee*",Zamowienia!$D:$D,"1",Zamowienia!$G:$G,$A14,Zamowienia!N:N,"Węgry"))</f>
        <v>0</v>
      </c>
      <c r="P14" s="19">
        <f ca="1">IF($A14/(TODAY()-1)&gt;1,"",SUMIFS(Zamowienia!$K:$K,Zamowienia!$M:$M,"Osobiście/tel.",Zamowienia!$L:$L,"Mall.hu-*",Zamowienia!$D:$D,"1",Zamowienia!$G:$G,$A14,Zamowienia!$O:$O,"Greatstore"))</f>
        <v>0</v>
      </c>
      <c r="Q14" s="17">
        <f t="shared" ca="1" si="7"/>
        <v>0</v>
      </c>
      <c r="R14" s="18" t="str">
        <f t="shared" ca="1" si="3"/>
        <v/>
      </c>
      <c r="S14" s="20">
        <f t="shared" ca="1" si="8"/>
        <v>0</v>
      </c>
      <c r="T14" s="20">
        <f t="shared" ca="1" si="8"/>
        <v>0</v>
      </c>
      <c r="U14" s="21">
        <f t="shared" ca="1" si="9"/>
        <v>0</v>
      </c>
      <c r="V14" s="18" t="str">
        <f t="shared" ca="1" si="10"/>
        <v/>
      </c>
      <c r="X14" t="s">
        <v>35</v>
      </c>
    </row>
    <row r="15" spans="1:29" ht="18.75" x14ac:dyDescent="0.25">
      <c r="A15" s="2">
        <v>45091</v>
      </c>
      <c r="B15" s="4" t="s">
        <v>13</v>
      </c>
      <c r="C15" s="16">
        <f ca="1">IF($A15/(TODAY()-1)&gt;1,"",SUMIFS(Zamowienia!$K:$K,Zamowienia!$M:$M,"Osobiście/tel.",Zamowienia!$L:$L,"Mall.cz-*",Zamowienia!$D:$D,"1",Zamowienia!$G:$G,$A15,Zamowienia!$O:$O,"Shumee"))</f>
        <v>0</v>
      </c>
      <c r="D15" s="16">
        <f ca="1">IF($A15/(TODAY()-1)&gt;1,"",SUMIFS(Zamowienia!$K:$K,Zamowienia!$M:$M,"Osobiście/tel.",Zamowienia!$L:$L,"Mall.cz-*",Zamowienia!$D:$D,"1",Zamowienia!$G:$G,$A15,Zamowienia!$O:$O,"Greatstore"))</f>
        <v>0</v>
      </c>
      <c r="E15" s="17">
        <f t="shared" ca="1" si="4"/>
        <v>0</v>
      </c>
      <c r="F15" s="18" t="str">
        <f ca="1">IFERROR(D15/E15,"")</f>
        <v/>
      </c>
      <c r="G15" s="16">
        <f ca="1">IF($A15/(TODAY()-1)&gt;1,"",SUMIFS(Zamowienia!$K:$K,Zamowienia!$M:$M,"Osobiście/tel.",Zamowienia!$L:$L,"Mall.sk-*",Zamowienia!$D:$D,"1",Zamowienia!$G:$G,$A15,Zamowienia!$O:$O,"Shumee"))</f>
        <v>0</v>
      </c>
      <c r="H15" s="19">
        <f ca="1">IF($A15/(TODAY()-1)&gt;1,"",SUMIFS(Zamowienia!$K:$K,Zamowienia!$M:$M,"Osobiście/tel.",Zamowienia!$L:$L,"Mall.sk-*",Zamowienia!$D:$D,"1",Zamowienia!$G:$G,$A15,Zamowienia!$O:$O,"Greatstore"))</f>
        <v>0</v>
      </c>
      <c r="I15" s="17">
        <f t="shared" ca="1" si="5"/>
        <v>0</v>
      </c>
      <c r="J15" s="18" t="str">
        <f ca="1">IFERROR(H15/I15,"")</f>
        <v/>
      </c>
      <c r="K15" s="16">
        <f ca="1">IF($A15/(TODAY()-1)&gt;1,"",SUMIFS(Zamowienia!$K:$K,Zamowienia!$M:$M,"Osobiście/tel.",Zamowienia!$L:$L,"Mimovrste.com-*",Zamowienia!$D:$D,"1",Zamowienia!$G:$G,$A15,Zamowienia!$O:$O,"Shumee"))</f>
        <v>0</v>
      </c>
      <c r="L15" s="19">
        <f ca="1">IF($A15/(TODAY()-1)&gt;1,"",SUMIFS(Zamowienia!$K:$K,Zamowienia!$M:$M,"Osobiście/tel.",Zamowienia!$L:$L,"Mimovrste.com-*",Zamowienia!$D:$D,"1",Zamowienia!$G:$G,$A15,Zamowienia!$O:$O,"Greatstore"))</f>
        <v>0</v>
      </c>
      <c r="M15" s="17">
        <f t="shared" ca="1" si="6"/>
        <v>0</v>
      </c>
      <c r="N15" s="18" t="str">
        <f ca="1">IFERROR(L15/M15,"")</f>
        <v/>
      </c>
      <c r="O15" s="16">
        <f ca="1">IF($A15/(TODAY()-1)&gt;1,"",SUMIFS(Zamowienia!$K:$K,Zamowienia!$M:$M,"Osobiście/tel.",Zamowienia!$L:$L,"shumee*",Zamowienia!$D:$D,"1",Zamowienia!$G:$G,$A15,Zamowienia!N:N,"Węgry"))</f>
        <v>0</v>
      </c>
      <c r="P15" s="19">
        <f ca="1">IF($A15/(TODAY()-1)&gt;1,"",SUMIFS(Zamowienia!$K:$K,Zamowienia!$M:$M,"Osobiście/tel.",Zamowienia!$L:$L,"Mall.hu-*",Zamowienia!$D:$D,"1",Zamowienia!$G:$G,$A15,Zamowienia!$O:$O,"Greatstore"))</f>
        <v>0</v>
      </c>
      <c r="Q15" s="17">
        <f t="shared" ca="1" si="7"/>
        <v>0</v>
      </c>
      <c r="R15" s="18" t="str">
        <f ca="1">IFERROR(P15/Q15,"")</f>
        <v/>
      </c>
      <c r="S15" s="20">
        <f t="shared" ca="1" si="8"/>
        <v>0</v>
      </c>
      <c r="T15" s="20">
        <f t="shared" ca="1" si="8"/>
        <v>0</v>
      </c>
      <c r="U15" s="21">
        <f t="shared" ca="1" si="9"/>
        <v>0</v>
      </c>
      <c r="V15" s="18" t="str">
        <f t="shared" ca="1" si="10"/>
        <v/>
      </c>
      <c r="X15" t="s">
        <v>7</v>
      </c>
      <c r="Y15" s="8">
        <f>SUM(Y2,Y5,Y8,Y11)</f>
        <v>2325000</v>
      </c>
      <c r="Z15" s="8">
        <f ca="1">SUM(Z2,Z5,Z8,Z11)</f>
        <v>0</v>
      </c>
      <c r="AA15" s="7">
        <f ca="1">Z15/Y15</f>
        <v>0</v>
      </c>
      <c r="AB15" s="23">
        <v>1824592.163407865</v>
      </c>
      <c r="AC15" s="8">
        <f>AB15/Roboczy!$B$2</f>
        <v>60819.738780262167</v>
      </c>
    </row>
    <row r="16" spans="1:29" ht="18.75" x14ac:dyDescent="0.25">
      <c r="A16" s="2">
        <v>45092</v>
      </c>
      <c r="B16" s="4" t="s">
        <v>3</v>
      </c>
      <c r="C16" s="16">
        <f ca="1">IF($A16/(TODAY()-1)&gt;1,"",SUMIFS(Zamowienia!$K:$K,Zamowienia!$M:$M,"Osobiście/tel.",Zamowienia!$L:$L,"Mall.cz-*",Zamowienia!$D:$D,"1",Zamowienia!$G:$G,$A16,Zamowienia!$O:$O,"Shumee"))</f>
        <v>0</v>
      </c>
      <c r="D16" s="16">
        <f ca="1">IF($A16/(TODAY()-1)&gt;1,"",SUMIFS(Zamowienia!$K:$K,Zamowienia!$M:$M,"Osobiście/tel.",Zamowienia!$L:$L,"Mall.cz-*",Zamowienia!$D:$D,"1",Zamowienia!$G:$G,$A16,Zamowienia!$O:$O,"Greatstore"))</f>
        <v>0</v>
      </c>
      <c r="E16" s="17">
        <f t="shared" ca="1" si="4"/>
        <v>0</v>
      </c>
      <c r="F16" s="18" t="str">
        <f t="shared" ref="F16:F27" ca="1" si="11">IFERROR(D16/E16,"")</f>
        <v/>
      </c>
      <c r="G16" s="16">
        <f ca="1">IF($A16/(TODAY()-1)&gt;1,"",SUMIFS(Zamowienia!$K:$K,Zamowienia!$M:$M,"Osobiście/tel.",Zamowienia!$L:$L,"Mall.sk-*",Zamowienia!$D:$D,"1",Zamowienia!$G:$G,$A16,Zamowienia!$O:$O,"Shumee"))</f>
        <v>0</v>
      </c>
      <c r="H16" s="19">
        <f ca="1">IF($A16/(TODAY()-1)&gt;1,"",SUMIFS(Zamowienia!$K:$K,Zamowienia!$M:$M,"Osobiście/tel.",Zamowienia!$L:$L,"Mall.sk-*",Zamowienia!$D:$D,"1",Zamowienia!$G:$G,$A16,Zamowienia!$O:$O,"Greatstore"))</f>
        <v>0</v>
      </c>
      <c r="I16" s="17">
        <f t="shared" ca="1" si="5"/>
        <v>0</v>
      </c>
      <c r="J16" s="18" t="str">
        <f t="shared" ref="J16:J27" ca="1" si="12">IFERROR(H16/I16,"")</f>
        <v/>
      </c>
      <c r="K16" s="16">
        <f ca="1">IF($A16/(TODAY()-1)&gt;1,"",SUMIFS(Zamowienia!$K:$K,Zamowienia!$M:$M,"Osobiście/tel.",Zamowienia!$L:$L,"Mimovrste.com-*",Zamowienia!$D:$D,"1",Zamowienia!$G:$G,$A16,Zamowienia!$O:$O,"Shumee"))</f>
        <v>0</v>
      </c>
      <c r="L16" s="19">
        <f ca="1">IF($A16/(TODAY()-1)&gt;1,"",SUMIFS(Zamowienia!$K:$K,Zamowienia!$M:$M,"Osobiście/tel.",Zamowienia!$L:$L,"Mimovrste.com-*",Zamowienia!$D:$D,"1",Zamowienia!$G:$G,$A16,Zamowienia!$O:$O,"Greatstore"))</f>
        <v>0</v>
      </c>
      <c r="M16" s="17">
        <f t="shared" ca="1" si="6"/>
        <v>0</v>
      </c>
      <c r="N16" s="18" t="str">
        <f t="shared" ref="N16:N27" ca="1" si="13">IFERROR(L16/M16,"")</f>
        <v/>
      </c>
      <c r="O16" s="16">
        <f ca="1">IF($A16/(TODAY()-1)&gt;1,"",SUMIFS(Zamowienia!$K:$K,Zamowienia!$M:$M,"Osobiście/tel.",Zamowienia!$L:$L,"shumee*",Zamowienia!$D:$D,"1",Zamowienia!$G:$G,$A16,Zamowienia!N:N,"Węgry"))</f>
        <v>0</v>
      </c>
      <c r="P16" s="19">
        <f ca="1">IF($A16/(TODAY()-1)&gt;1,"",SUMIFS(Zamowienia!$K:$K,Zamowienia!$M:$M,"Osobiście/tel.",Zamowienia!$L:$L,"Mall.hu-*",Zamowienia!$D:$D,"1",Zamowienia!$G:$G,$A16,Zamowienia!$O:$O,"Greatstore"))</f>
        <v>0</v>
      </c>
      <c r="Q16" s="17">
        <f t="shared" ca="1" si="7"/>
        <v>0</v>
      </c>
      <c r="R16" s="18" t="str">
        <f t="shared" ref="R16:R27" ca="1" si="14">IFERROR(P16/Q16,"")</f>
        <v/>
      </c>
      <c r="S16" s="20">
        <f t="shared" ca="1" si="8"/>
        <v>0</v>
      </c>
      <c r="T16" s="20">
        <f t="shared" ca="1" si="8"/>
        <v>0</v>
      </c>
      <c r="U16" s="21">
        <f t="shared" ca="1" si="9"/>
        <v>0</v>
      </c>
      <c r="V16" s="18" t="str">
        <f t="shared" ca="1" si="10"/>
        <v/>
      </c>
      <c r="Y16" s="8">
        <f>Y15/Roboczy!$B$1</f>
        <v>75000</v>
      </c>
      <c r="Z16" s="8" t="e">
        <f ca="1">SUM(Z3,Z6,Z9,Z12)</f>
        <v>#DIV/0!</v>
      </c>
      <c r="AA16" s="7" t="e">
        <f ca="1">Z16/Y16</f>
        <v>#DIV/0!</v>
      </c>
      <c r="AB16" s="22">
        <f ca="1">Z15-AB15</f>
        <v>-1824592.163407865</v>
      </c>
      <c r="AC16" s="7" t="e">
        <f ca="1">Z16/AC15-1</f>
        <v>#DIV/0!</v>
      </c>
    </row>
    <row r="17" spans="1:28" ht="18.75" x14ac:dyDescent="0.25">
      <c r="A17" s="2">
        <v>45093</v>
      </c>
      <c r="B17" s="4" t="s">
        <v>6</v>
      </c>
      <c r="C17" s="16">
        <f ca="1">IF($A17/(TODAY()-1)&gt;1,"",SUMIFS(Zamowienia!$K:$K,Zamowienia!$M:$M,"Osobiście/tel.",Zamowienia!$L:$L,"Mall.cz-*",Zamowienia!$D:$D,"1",Zamowienia!$G:$G,$A17,Zamowienia!$O:$O,"Shumee"))</f>
        <v>0</v>
      </c>
      <c r="D17" s="16">
        <f ca="1">IF($A17/(TODAY()-1)&gt;1,"",SUMIFS(Zamowienia!$K:$K,Zamowienia!$M:$M,"Osobiście/tel.",Zamowienia!$L:$L,"Mall.cz-*",Zamowienia!$D:$D,"1",Zamowienia!$G:$G,$A17,Zamowienia!$O:$O,"Greatstore"))</f>
        <v>0</v>
      </c>
      <c r="E17" s="17">
        <f t="shared" ca="1" si="4"/>
        <v>0</v>
      </c>
      <c r="F17" s="18" t="str">
        <f t="shared" ca="1" si="11"/>
        <v/>
      </c>
      <c r="G17" s="16">
        <f ca="1">IF($A17/(TODAY()-1)&gt;1,"",SUMIFS(Zamowienia!$K:$K,Zamowienia!$M:$M,"Osobiście/tel.",Zamowienia!$L:$L,"Mall.sk-*",Zamowienia!$D:$D,"1",Zamowienia!$G:$G,$A17,Zamowienia!$O:$O,"Shumee"))</f>
        <v>0</v>
      </c>
      <c r="H17" s="19">
        <f ca="1">IF($A17/(TODAY()-1)&gt;1,"",SUMIFS(Zamowienia!$K:$K,Zamowienia!$M:$M,"Osobiście/tel.",Zamowienia!$L:$L,"Mall.sk-*",Zamowienia!$D:$D,"1",Zamowienia!$G:$G,$A17,Zamowienia!$O:$O,"Greatstore"))</f>
        <v>0</v>
      </c>
      <c r="I17" s="17">
        <f t="shared" ca="1" si="5"/>
        <v>0</v>
      </c>
      <c r="J17" s="18" t="str">
        <f t="shared" ca="1" si="12"/>
        <v/>
      </c>
      <c r="K17" s="16">
        <f ca="1">IF($A17/(TODAY()-1)&gt;1,"",SUMIFS(Zamowienia!$K:$K,Zamowienia!$M:$M,"Osobiście/tel.",Zamowienia!$L:$L,"Mimovrste.com-*",Zamowienia!$D:$D,"1",Zamowienia!$G:$G,$A17,Zamowienia!$O:$O,"Shumee"))</f>
        <v>0</v>
      </c>
      <c r="L17" s="19">
        <f ca="1">IF($A17/(TODAY()-1)&gt;1,"",SUMIFS(Zamowienia!$K:$K,Zamowienia!$M:$M,"Osobiście/tel.",Zamowienia!$L:$L,"Mimovrste.com-*",Zamowienia!$D:$D,"1",Zamowienia!$G:$G,$A17,Zamowienia!$O:$O,"Greatstore"))</f>
        <v>0</v>
      </c>
      <c r="M17" s="17">
        <f t="shared" ca="1" si="6"/>
        <v>0</v>
      </c>
      <c r="N17" s="18" t="str">
        <f t="shared" ca="1" si="13"/>
        <v/>
      </c>
      <c r="O17" s="16">
        <f ca="1">IF($A17/(TODAY()-1)&gt;1,"",SUMIFS(Zamowienia!$K:$K,Zamowienia!$M:$M,"Osobiście/tel.",Zamowienia!$L:$L,"shumee*",Zamowienia!$D:$D,"1",Zamowienia!$G:$G,$A17,Zamowienia!N:N,"Węgry"))</f>
        <v>0</v>
      </c>
      <c r="P17" s="19">
        <f ca="1">IF($A17/(TODAY()-1)&gt;1,"",SUMIFS(Zamowienia!$K:$K,Zamowienia!$M:$M,"Osobiście/tel.",Zamowienia!$L:$L,"Mall.hu-*",Zamowienia!$D:$D,"1",Zamowienia!$G:$G,$A17,Zamowienia!$O:$O,"Greatstore"))</f>
        <v>0</v>
      </c>
      <c r="Q17" s="17">
        <f t="shared" ca="1" si="7"/>
        <v>0</v>
      </c>
      <c r="R17" s="18" t="str">
        <f t="shared" ca="1" si="14"/>
        <v/>
      </c>
      <c r="S17" s="20">
        <f t="shared" ca="1" si="8"/>
        <v>0</v>
      </c>
      <c r="T17" s="20">
        <f t="shared" ca="1" si="8"/>
        <v>0</v>
      </c>
      <c r="U17" s="21">
        <f t="shared" ca="1" si="9"/>
        <v>0</v>
      </c>
      <c r="V17" s="18" t="str">
        <f t="shared" ca="1" si="10"/>
        <v/>
      </c>
      <c r="AB17"/>
    </row>
    <row r="18" spans="1:28" ht="18.75" x14ac:dyDescent="0.25">
      <c r="A18" s="2">
        <v>45094</v>
      </c>
      <c r="B18" s="9" t="s">
        <v>8</v>
      </c>
      <c r="C18" s="16">
        <f ca="1">IF($A18/(TODAY()-1)&gt;1,"",SUMIFS(Zamowienia!$K:$K,Zamowienia!$M:$M,"Osobiście/tel.",Zamowienia!$L:$L,"Mall.cz-*",Zamowienia!$D:$D,"1",Zamowienia!$G:$G,$A18,Zamowienia!$O:$O,"Shumee"))</f>
        <v>0</v>
      </c>
      <c r="D18" s="16">
        <f ca="1">IF($A18/(TODAY()-1)&gt;1,"",SUMIFS(Zamowienia!$K:$K,Zamowienia!$M:$M,"Osobiście/tel.",Zamowienia!$L:$L,"Mall.cz-*",Zamowienia!$D:$D,"1",Zamowienia!$G:$G,$A18,Zamowienia!$O:$O,"Greatstore"))</f>
        <v>0</v>
      </c>
      <c r="E18" s="17">
        <f t="shared" ca="1" si="4"/>
        <v>0</v>
      </c>
      <c r="F18" s="18" t="str">
        <f t="shared" ca="1" si="11"/>
        <v/>
      </c>
      <c r="G18" s="16">
        <f ca="1">IF($A18/(TODAY()-1)&gt;1,"",SUMIFS(Zamowienia!$K:$K,Zamowienia!$M:$M,"Osobiście/tel.",Zamowienia!$L:$L,"Mall.sk-*",Zamowienia!$D:$D,"1",Zamowienia!$G:$G,$A18,Zamowienia!$O:$O,"Shumee"))</f>
        <v>0</v>
      </c>
      <c r="H18" s="19">
        <f ca="1">IF($A18/(TODAY()-1)&gt;1,"",SUMIFS(Zamowienia!$K:$K,Zamowienia!$M:$M,"Osobiście/tel.",Zamowienia!$L:$L,"Mall.sk-*",Zamowienia!$D:$D,"1",Zamowienia!$G:$G,$A18,Zamowienia!$O:$O,"Greatstore"))</f>
        <v>0</v>
      </c>
      <c r="I18" s="17">
        <f t="shared" ca="1" si="5"/>
        <v>0</v>
      </c>
      <c r="J18" s="18" t="str">
        <f t="shared" ca="1" si="12"/>
        <v/>
      </c>
      <c r="K18" s="16">
        <f ca="1">IF($A18/(TODAY()-1)&gt;1,"",SUMIFS(Zamowienia!$K:$K,Zamowienia!$M:$M,"Osobiście/tel.",Zamowienia!$L:$L,"Mimovrste.com-*",Zamowienia!$D:$D,"1",Zamowienia!$G:$G,$A18,Zamowienia!$O:$O,"Shumee"))</f>
        <v>0</v>
      </c>
      <c r="L18" s="19">
        <f ca="1">IF($A18/(TODAY()-1)&gt;1,"",SUMIFS(Zamowienia!$K:$K,Zamowienia!$M:$M,"Osobiście/tel.",Zamowienia!$L:$L,"Mimovrste.com-*",Zamowienia!$D:$D,"1",Zamowienia!$G:$G,$A18,Zamowienia!$O:$O,"Greatstore"))</f>
        <v>0</v>
      </c>
      <c r="M18" s="17">
        <f t="shared" ca="1" si="6"/>
        <v>0</v>
      </c>
      <c r="N18" s="18" t="str">
        <f t="shared" ca="1" si="13"/>
        <v/>
      </c>
      <c r="O18" s="16">
        <f ca="1">IF($A18/(TODAY()-1)&gt;1,"",SUMIFS(Zamowienia!$K:$K,Zamowienia!$M:$M,"Osobiście/tel.",Zamowienia!$L:$L,"shumee*",Zamowienia!$D:$D,"1",Zamowienia!$G:$G,$A18,Zamowienia!N:N,"Węgry"))</f>
        <v>0</v>
      </c>
      <c r="P18" s="19">
        <f ca="1">IF($A18/(TODAY()-1)&gt;1,"",SUMIFS(Zamowienia!$K:$K,Zamowienia!$M:$M,"Osobiście/tel.",Zamowienia!$L:$L,"Mall.hu-*",Zamowienia!$D:$D,"1",Zamowienia!$G:$G,$A18,Zamowienia!$O:$O,"Greatstore"))</f>
        <v>0</v>
      </c>
      <c r="Q18" s="17">
        <f t="shared" ca="1" si="7"/>
        <v>0</v>
      </c>
      <c r="R18" s="18" t="str">
        <f t="shared" ca="1" si="14"/>
        <v/>
      </c>
      <c r="S18" s="20">
        <f t="shared" ca="1" si="8"/>
        <v>0</v>
      </c>
      <c r="T18" s="20">
        <f t="shared" ca="1" si="8"/>
        <v>0</v>
      </c>
      <c r="U18" s="21">
        <f t="shared" ca="1" si="9"/>
        <v>0</v>
      </c>
      <c r="V18" s="18" t="str">
        <f t="shared" ca="1" si="10"/>
        <v/>
      </c>
      <c r="AB18"/>
    </row>
    <row r="19" spans="1:28" ht="18.75" x14ac:dyDescent="0.25">
      <c r="A19" s="2">
        <v>45095</v>
      </c>
      <c r="B19" s="9" t="s">
        <v>10</v>
      </c>
      <c r="C19" s="16">
        <f ca="1">IF($A19/(TODAY()-1)&gt;1,"",SUMIFS(Zamowienia!$K:$K,Zamowienia!$M:$M,"Osobiście/tel.",Zamowienia!$L:$L,"Mall.cz-*",Zamowienia!$D:$D,"1",Zamowienia!$G:$G,$A19,Zamowienia!$O:$O,"Shumee"))</f>
        <v>0</v>
      </c>
      <c r="D19" s="16">
        <f ca="1">IF($A19/(TODAY()-1)&gt;1,"",SUMIFS(Zamowienia!$K:$K,Zamowienia!$M:$M,"Osobiście/tel.",Zamowienia!$L:$L,"Mall.cz-*",Zamowienia!$D:$D,"1",Zamowienia!$G:$G,$A19,Zamowienia!$O:$O,"Greatstore"))</f>
        <v>0</v>
      </c>
      <c r="E19" s="17">
        <f t="shared" ca="1" si="4"/>
        <v>0</v>
      </c>
      <c r="F19" s="18" t="str">
        <f t="shared" ca="1" si="11"/>
        <v/>
      </c>
      <c r="G19" s="16">
        <f ca="1">IF($A19/(TODAY()-1)&gt;1,"",SUMIFS(Zamowienia!$K:$K,Zamowienia!$M:$M,"Osobiście/tel.",Zamowienia!$L:$L,"Mall.sk-*",Zamowienia!$D:$D,"1",Zamowienia!$G:$G,$A19,Zamowienia!$O:$O,"Shumee"))</f>
        <v>0</v>
      </c>
      <c r="H19" s="19">
        <f ca="1">IF($A19/(TODAY()-1)&gt;1,"",SUMIFS(Zamowienia!$K:$K,Zamowienia!$M:$M,"Osobiście/tel.",Zamowienia!$L:$L,"Mall.sk-*",Zamowienia!$D:$D,"1",Zamowienia!$G:$G,$A19,Zamowienia!$O:$O,"Greatstore"))</f>
        <v>0</v>
      </c>
      <c r="I19" s="17">
        <f t="shared" ca="1" si="5"/>
        <v>0</v>
      </c>
      <c r="J19" s="18" t="str">
        <f t="shared" ca="1" si="12"/>
        <v/>
      </c>
      <c r="K19" s="16">
        <f ca="1">IF($A19/(TODAY()-1)&gt;1,"",SUMIFS(Zamowienia!$K:$K,Zamowienia!$M:$M,"Osobiście/tel.",Zamowienia!$L:$L,"Mimovrste.com-*",Zamowienia!$D:$D,"1",Zamowienia!$G:$G,$A19,Zamowienia!$O:$O,"Shumee"))</f>
        <v>0</v>
      </c>
      <c r="L19" s="19">
        <f ca="1">IF($A19/(TODAY()-1)&gt;1,"",SUMIFS(Zamowienia!$K:$K,Zamowienia!$M:$M,"Osobiście/tel.",Zamowienia!$L:$L,"Mimovrste.com-*",Zamowienia!$D:$D,"1",Zamowienia!$G:$G,$A19,Zamowienia!$O:$O,"Greatstore"))</f>
        <v>0</v>
      </c>
      <c r="M19" s="17">
        <f t="shared" ca="1" si="6"/>
        <v>0</v>
      </c>
      <c r="N19" s="18" t="str">
        <f t="shared" ca="1" si="13"/>
        <v/>
      </c>
      <c r="O19" s="16">
        <f ca="1">IF($A19/(TODAY()-1)&gt;1,"",SUMIFS(Zamowienia!$K:$K,Zamowienia!$M:$M,"Osobiście/tel.",Zamowienia!$L:$L,"shumee*",Zamowienia!$D:$D,"1",Zamowienia!$G:$G,$A19,Zamowienia!N:N,"Węgry"))</f>
        <v>0</v>
      </c>
      <c r="P19" s="19">
        <f ca="1">IF($A19/(TODAY()-1)&gt;1,"",SUMIFS(Zamowienia!$K:$K,Zamowienia!$M:$M,"Osobiście/tel.",Zamowienia!$L:$L,"Mall.hu-*",Zamowienia!$D:$D,"1",Zamowienia!$G:$G,$A19,Zamowienia!$O:$O,"Greatstore"))</f>
        <v>0</v>
      </c>
      <c r="Q19" s="17">
        <f t="shared" ca="1" si="7"/>
        <v>0</v>
      </c>
      <c r="R19" s="18" t="str">
        <f t="shared" ca="1" si="14"/>
        <v/>
      </c>
      <c r="S19" s="20">
        <f t="shared" ca="1" si="8"/>
        <v>0</v>
      </c>
      <c r="T19" s="20">
        <f t="shared" ca="1" si="8"/>
        <v>0</v>
      </c>
      <c r="U19" s="21">
        <f t="shared" ca="1" si="9"/>
        <v>0</v>
      </c>
      <c r="V19" s="18" t="str">
        <f t="shared" ca="1" si="10"/>
        <v/>
      </c>
      <c r="AB19"/>
    </row>
    <row r="20" spans="1:28" ht="18.75" x14ac:dyDescent="0.25">
      <c r="A20" s="2">
        <v>45096</v>
      </c>
      <c r="B20" s="10" t="s">
        <v>6</v>
      </c>
      <c r="C20" s="16">
        <f ca="1">IF($A20/(TODAY()-1)&gt;1,"",SUMIFS(Zamowienia!$K:$K,Zamowienia!$M:$M,"Osobiście/tel.",Zamowienia!$L:$L,"Mall.cz-*",Zamowienia!$D:$D,"1",Zamowienia!$G:$G,$A20,Zamowienia!$O:$O,"Shumee"))</f>
        <v>0</v>
      </c>
      <c r="D20" s="16">
        <f ca="1">IF($A20/(TODAY()-1)&gt;1,"",SUMIFS(Zamowienia!$K:$K,Zamowienia!$M:$M,"Osobiście/tel.",Zamowienia!$L:$L,"Mall.cz-*",Zamowienia!$D:$D,"1",Zamowienia!$G:$G,$A20,Zamowienia!$O:$O,"Greatstore"))</f>
        <v>0</v>
      </c>
      <c r="E20" s="17">
        <f t="shared" ca="1" si="4"/>
        <v>0</v>
      </c>
      <c r="F20" s="18" t="str">
        <f t="shared" ca="1" si="11"/>
        <v/>
      </c>
      <c r="G20" s="16">
        <f ca="1">IF($A20/(TODAY()-1)&gt;1,"",SUMIFS(Zamowienia!$K:$K,Zamowienia!$M:$M,"Osobiście/tel.",Zamowienia!$L:$L,"Mall.sk-*",Zamowienia!$D:$D,"1",Zamowienia!$G:$G,$A20,Zamowienia!$O:$O,"Shumee"))</f>
        <v>0</v>
      </c>
      <c r="H20" s="19">
        <f ca="1">IF($A20/(TODAY()-1)&gt;1,"",SUMIFS(Zamowienia!$K:$K,Zamowienia!$M:$M,"Osobiście/tel.",Zamowienia!$L:$L,"Mall.sk-*",Zamowienia!$D:$D,"1",Zamowienia!$G:$G,$A20,Zamowienia!$O:$O,"Greatstore"))</f>
        <v>0</v>
      </c>
      <c r="I20" s="17">
        <f t="shared" ca="1" si="5"/>
        <v>0</v>
      </c>
      <c r="J20" s="18" t="str">
        <f t="shared" ca="1" si="12"/>
        <v/>
      </c>
      <c r="K20" s="16">
        <f ca="1">IF($A20/(TODAY()-1)&gt;1,"",SUMIFS(Zamowienia!$K:$K,Zamowienia!$M:$M,"Osobiście/tel.",Zamowienia!$L:$L,"Mimovrste.com-*",Zamowienia!$D:$D,"1",Zamowienia!$G:$G,$A20,Zamowienia!$O:$O,"Shumee"))</f>
        <v>0</v>
      </c>
      <c r="L20" s="19">
        <f ca="1">IF($A20/(TODAY()-1)&gt;1,"",SUMIFS(Zamowienia!$K:$K,Zamowienia!$M:$M,"Osobiście/tel.",Zamowienia!$L:$L,"Mimovrste.com-*",Zamowienia!$D:$D,"1",Zamowienia!$G:$G,$A20,Zamowienia!$O:$O,"Greatstore"))</f>
        <v>0</v>
      </c>
      <c r="M20" s="17">
        <f t="shared" ca="1" si="6"/>
        <v>0</v>
      </c>
      <c r="N20" s="18" t="str">
        <f t="shared" ca="1" si="13"/>
        <v/>
      </c>
      <c r="O20" s="16">
        <f ca="1">IF($A20/(TODAY()-1)&gt;1,"",SUMIFS(Zamowienia!$K:$K,Zamowienia!$M:$M,"Osobiście/tel.",Zamowienia!$L:$L,"shumee*",Zamowienia!$D:$D,"1",Zamowienia!$G:$G,$A20,Zamowienia!N:N,"Węgry"))</f>
        <v>0</v>
      </c>
      <c r="P20" s="19">
        <f ca="1">IF($A20/(TODAY()-1)&gt;1,"",SUMIFS(Zamowienia!$K:$K,Zamowienia!$M:$M,"Osobiście/tel.",Zamowienia!$L:$L,"Mall.hu-*",Zamowienia!$D:$D,"1",Zamowienia!$G:$G,$A20,Zamowienia!$O:$O,"Greatstore"))</f>
        <v>0</v>
      </c>
      <c r="Q20" s="17">
        <f t="shared" ca="1" si="7"/>
        <v>0</v>
      </c>
      <c r="R20" s="18" t="str">
        <f t="shared" ca="1" si="14"/>
        <v/>
      </c>
      <c r="S20" s="20">
        <f t="shared" ca="1" si="8"/>
        <v>0</v>
      </c>
      <c r="T20" s="20">
        <f t="shared" ca="1" si="8"/>
        <v>0</v>
      </c>
      <c r="U20" s="21">
        <f t="shared" ca="1" si="9"/>
        <v>0</v>
      </c>
      <c r="V20" s="18" t="str">
        <f t="shared" ca="1" si="10"/>
        <v/>
      </c>
      <c r="AB20"/>
    </row>
    <row r="21" spans="1:28" ht="18.75" x14ac:dyDescent="0.25">
      <c r="A21" s="2">
        <v>45097</v>
      </c>
      <c r="B21" s="4" t="s">
        <v>11</v>
      </c>
      <c r="C21" s="16">
        <f ca="1">IF($A21/(TODAY()-1)&gt;1,"",SUMIFS(Zamowienia!$K:$K,Zamowienia!$M:$M,"Osobiście/tel.",Zamowienia!$L:$L,"Mall.cz-*",Zamowienia!$D:$D,"1",Zamowienia!$G:$G,$A21,Zamowienia!$O:$O,"Shumee"))</f>
        <v>0</v>
      </c>
      <c r="D21" s="16">
        <f ca="1">IF($A21/(TODAY()-1)&gt;1,"",SUMIFS(Zamowienia!$K:$K,Zamowienia!$M:$M,"Osobiście/tel.",Zamowienia!$L:$L,"Mall.cz-*",Zamowienia!$D:$D,"1",Zamowienia!$G:$G,$A21,Zamowienia!$O:$O,"Greatstore"))</f>
        <v>0</v>
      </c>
      <c r="E21" s="17">
        <f t="shared" ca="1" si="4"/>
        <v>0</v>
      </c>
      <c r="F21" s="18" t="str">
        <f t="shared" ca="1" si="11"/>
        <v/>
      </c>
      <c r="G21" s="16">
        <f ca="1">IF($A21/(TODAY()-1)&gt;1,"",SUMIFS(Zamowienia!$K:$K,Zamowienia!$M:$M,"Osobiście/tel.",Zamowienia!$L:$L,"Mall.sk-*",Zamowienia!$D:$D,"1",Zamowienia!$G:$G,$A21,Zamowienia!$O:$O,"Shumee"))</f>
        <v>0</v>
      </c>
      <c r="H21" s="19">
        <f ca="1">IF($A21/(TODAY()-1)&gt;1,"",SUMIFS(Zamowienia!$K:$K,Zamowienia!$M:$M,"Osobiście/tel.",Zamowienia!$L:$L,"Mall.sk-*",Zamowienia!$D:$D,"1",Zamowienia!$G:$G,$A21,Zamowienia!$O:$O,"Greatstore"))</f>
        <v>0</v>
      </c>
      <c r="I21" s="17">
        <f t="shared" ca="1" si="5"/>
        <v>0</v>
      </c>
      <c r="J21" s="18" t="str">
        <f t="shared" ca="1" si="12"/>
        <v/>
      </c>
      <c r="K21" s="16">
        <f ca="1">IF($A21/(TODAY()-1)&gt;1,"",SUMIFS(Zamowienia!$K:$K,Zamowienia!$M:$M,"Osobiście/tel.",Zamowienia!$L:$L,"Mimovrste.com-*",Zamowienia!$D:$D,"1",Zamowienia!$G:$G,$A21,Zamowienia!$O:$O,"Shumee"))</f>
        <v>0</v>
      </c>
      <c r="L21" s="19">
        <f ca="1">IF($A21/(TODAY()-1)&gt;1,"",SUMIFS(Zamowienia!$K:$K,Zamowienia!$M:$M,"Osobiście/tel.",Zamowienia!$L:$L,"Mimovrste.com-*",Zamowienia!$D:$D,"1",Zamowienia!$G:$G,$A21,Zamowienia!$O:$O,"Greatstore"))</f>
        <v>0</v>
      </c>
      <c r="M21" s="17">
        <f t="shared" ca="1" si="6"/>
        <v>0</v>
      </c>
      <c r="N21" s="18" t="str">
        <f t="shared" ca="1" si="13"/>
        <v/>
      </c>
      <c r="O21" s="16">
        <f ca="1">IF($A21/(TODAY()-1)&gt;1,"",SUMIFS(Zamowienia!$K:$K,Zamowienia!$M:$M,"Osobiście/tel.",Zamowienia!$L:$L,"shumee*",Zamowienia!$D:$D,"1",Zamowienia!$G:$G,$A21,Zamowienia!N:N,"Węgry"))</f>
        <v>0</v>
      </c>
      <c r="P21" s="19">
        <f ca="1">IF($A21/(TODAY()-1)&gt;1,"",SUMIFS(Zamowienia!$K:$K,Zamowienia!$M:$M,"Osobiście/tel.",Zamowienia!$L:$L,"Mall.hu-*",Zamowienia!$D:$D,"1",Zamowienia!$G:$G,$A21,Zamowienia!$O:$O,"Greatstore"))</f>
        <v>0</v>
      </c>
      <c r="Q21" s="17">
        <f t="shared" ca="1" si="7"/>
        <v>0</v>
      </c>
      <c r="R21" s="18" t="str">
        <f t="shared" ca="1" si="14"/>
        <v/>
      </c>
      <c r="S21" s="20">
        <f t="shared" ca="1" si="8"/>
        <v>0</v>
      </c>
      <c r="T21" s="20">
        <f t="shared" ca="1" si="8"/>
        <v>0</v>
      </c>
      <c r="U21" s="21">
        <f t="shared" ca="1" si="9"/>
        <v>0</v>
      </c>
      <c r="V21" s="18" t="str">
        <f t="shared" ca="1" si="10"/>
        <v/>
      </c>
      <c r="AB21"/>
    </row>
    <row r="22" spans="1:28" ht="18.75" x14ac:dyDescent="0.25">
      <c r="A22" s="2">
        <v>45098</v>
      </c>
      <c r="B22" s="4" t="s">
        <v>13</v>
      </c>
      <c r="C22" s="16">
        <f ca="1">IF($A22/(TODAY()-1)&gt;1,"",SUMIFS(Zamowienia!$K:$K,Zamowienia!$M:$M,"Osobiście/tel.",Zamowienia!$L:$L,"Mall.cz-*",Zamowienia!$D:$D,"1",Zamowienia!$G:$G,$A22,Zamowienia!$O:$O,"Shumee"))</f>
        <v>0</v>
      </c>
      <c r="D22" s="16">
        <f ca="1">IF($A22/(TODAY()-1)&gt;1,"",SUMIFS(Zamowienia!$K:$K,Zamowienia!$M:$M,"Osobiście/tel.",Zamowienia!$L:$L,"Mall.cz-*",Zamowienia!$D:$D,"1",Zamowienia!$G:$G,$A22,Zamowienia!$O:$O,"Greatstore"))</f>
        <v>0</v>
      </c>
      <c r="E22" s="17">
        <f t="shared" ca="1" si="4"/>
        <v>0</v>
      </c>
      <c r="F22" s="18" t="str">
        <f t="shared" ca="1" si="11"/>
        <v/>
      </c>
      <c r="G22" s="16">
        <f ca="1">IF($A22/(TODAY()-1)&gt;1,"",SUMIFS(Zamowienia!$K:$K,Zamowienia!$M:$M,"Osobiście/tel.",Zamowienia!$L:$L,"Mall.sk-*",Zamowienia!$D:$D,"1",Zamowienia!$G:$G,$A22,Zamowienia!$O:$O,"Shumee"))</f>
        <v>0</v>
      </c>
      <c r="H22" s="19">
        <f ca="1">IF($A22/(TODAY()-1)&gt;1,"",SUMIFS(Zamowienia!$K:$K,Zamowienia!$M:$M,"Osobiście/tel.",Zamowienia!$L:$L,"Mall.sk-*",Zamowienia!$D:$D,"1",Zamowienia!$G:$G,$A22,Zamowienia!$O:$O,"Greatstore"))</f>
        <v>0</v>
      </c>
      <c r="I22" s="17">
        <f t="shared" ca="1" si="5"/>
        <v>0</v>
      </c>
      <c r="J22" s="18" t="str">
        <f t="shared" ca="1" si="12"/>
        <v/>
      </c>
      <c r="K22" s="16">
        <f ca="1">IF($A22/(TODAY()-1)&gt;1,"",SUMIFS(Zamowienia!$K:$K,Zamowienia!$M:$M,"Osobiście/tel.",Zamowienia!$L:$L,"Mimovrste.com-*",Zamowienia!$D:$D,"1",Zamowienia!$G:$G,$A22,Zamowienia!$O:$O,"Shumee"))</f>
        <v>0</v>
      </c>
      <c r="L22" s="19">
        <f ca="1">IF($A22/(TODAY()-1)&gt;1,"",SUMIFS(Zamowienia!$K:$K,Zamowienia!$M:$M,"Osobiście/tel.",Zamowienia!$L:$L,"Mimovrste.com-*",Zamowienia!$D:$D,"1",Zamowienia!$G:$G,$A22,Zamowienia!$O:$O,"Greatstore"))</f>
        <v>0</v>
      </c>
      <c r="M22" s="17">
        <f t="shared" ca="1" si="6"/>
        <v>0</v>
      </c>
      <c r="N22" s="18" t="str">
        <f t="shared" ca="1" si="13"/>
        <v/>
      </c>
      <c r="O22" s="16">
        <f ca="1">IF($A22/(TODAY()-1)&gt;1,"",SUMIFS(Zamowienia!$K:$K,Zamowienia!$M:$M,"Osobiście/tel.",Zamowienia!$L:$L,"shumee*",Zamowienia!$D:$D,"1",Zamowienia!$G:$G,$A22,Zamowienia!N:N,"Węgry"))</f>
        <v>0</v>
      </c>
      <c r="P22" s="19">
        <f ca="1">IF($A22/(TODAY()-1)&gt;1,"",SUMIFS(Zamowienia!$K:$K,Zamowienia!$M:$M,"Osobiście/tel.",Zamowienia!$L:$L,"Mall.hu-*",Zamowienia!$D:$D,"1",Zamowienia!$G:$G,$A22,Zamowienia!$O:$O,"Greatstore"))</f>
        <v>0</v>
      </c>
      <c r="Q22" s="17">
        <f t="shared" ca="1" si="7"/>
        <v>0</v>
      </c>
      <c r="R22" s="18" t="str">
        <f t="shared" ca="1" si="14"/>
        <v/>
      </c>
      <c r="S22" s="20">
        <f t="shared" ca="1" si="8"/>
        <v>0</v>
      </c>
      <c r="T22" s="20">
        <f t="shared" ca="1" si="8"/>
        <v>0</v>
      </c>
      <c r="U22" s="21">
        <f t="shared" ca="1" si="9"/>
        <v>0</v>
      </c>
      <c r="V22" s="18" t="str">
        <f t="shared" ca="1" si="10"/>
        <v/>
      </c>
      <c r="AB22"/>
    </row>
    <row r="23" spans="1:28" ht="18.75" x14ac:dyDescent="0.25">
      <c r="A23" s="2">
        <v>45099</v>
      </c>
      <c r="B23" s="4" t="s">
        <v>3</v>
      </c>
      <c r="C23" s="16">
        <f ca="1">IF($A23/(TODAY()-1)&gt;1,"",SUMIFS(Zamowienia!$K:$K,Zamowienia!$M:$M,"Osobiście/tel.",Zamowienia!$L:$L,"Mall.cz-*",Zamowienia!$D:$D,"1",Zamowienia!$G:$G,$A23,Zamowienia!$O:$O,"Shumee"))</f>
        <v>0</v>
      </c>
      <c r="D23" s="16">
        <f ca="1">IF($A23/(TODAY()-1)&gt;1,"",SUMIFS(Zamowienia!$K:$K,Zamowienia!$M:$M,"Osobiście/tel.",Zamowienia!$L:$L,"Mall.cz-*",Zamowienia!$D:$D,"1",Zamowienia!$G:$G,$A23,Zamowienia!$O:$O,"Greatstore"))</f>
        <v>0</v>
      </c>
      <c r="E23" s="17">
        <f t="shared" ca="1" si="4"/>
        <v>0</v>
      </c>
      <c r="F23" s="18" t="str">
        <f t="shared" ca="1" si="11"/>
        <v/>
      </c>
      <c r="G23" s="16">
        <f ca="1">IF($A23/(TODAY()-1)&gt;1,"",SUMIFS(Zamowienia!$K:$K,Zamowienia!$M:$M,"Osobiście/tel.",Zamowienia!$L:$L,"Mall.sk-*",Zamowienia!$D:$D,"1",Zamowienia!$G:$G,$A23,Zamowienia!$O:$O,"Shumee"))</f>
        <v>0</v>
      </c>
      <c r="H23" s="19">
        <f ca="1">IF($A23/(TODAY()-1)&gt;1,"",SUMIFS(Zamowienia!$K:$K,Zamowienia!$M:$M,"Osobiście/tel.",Zamowienia!$L:$L,"Mall.sk-*",Zamowienia!$D:$D,"1",Zamowienia!$G:$G,$A23,Zamowienia!$O:$O,"Greatstore"))</f>
        <v>0</v>
      </c>
      <c r="I23" s="17">
        <f t="shared" ca="1" si="5"/>
        <v>0</v>
      </c>
      <c r="J23" s="18" t="str">
        <f t="shared" ca="1" si="12"/>
        <v/>
      </c>
      <c r="K23" s="16">
        <f ca="1">IF($A23/(TODAY()-1)&gt;1,"",SUMIFS(Zamowienia!$K:$K,Zamowienia!$M:$M,"Osobiście/tel.",Zamowienia!$L:$L,"Mimovrste.com-*",Zamowienia!$D:$D,"1",Zamowienia!$G:$G,$A23,Zamowienia!$O:$O,"Shumee"))</f>
        <v>0</v>
      </c>
      <c r="L23" s="19">
        <f ca="1">IF($A23/(TODAY()-1)&gt;1,"",SUMIFS(Zamowienia!$K:$K,Zamowienia!$M:$M,"Osobiście/tel.",Zamowienia!$L:$L,"Mimovrste.com-*",Zamowienia!$D:$D,"1",Zamowienia!$G:$G,$A23,Zamowienia!$O:$O,"Greatstore"))</f>
        <v>0</v>
      </c>
      <c r="M23" s="17">
        <f t="shared" ca="1" si="6"/>
        <v>0</v>
      </c>
      <c r="N23" s="18" t="str">
        <f t="shared" ca="1" si="13"/>
        <v/>
      </c>
      <c r="O23" s="16">
        <f ca="1">IF($A23/(TODAY()-1)&gt;1,"",SUMIFS(Zamowienia!$K:$K,Zamowienia!$M:$M,"Osobiście/tel.",Zamowienia!$L:$L,"shumee*",Zamowienia!$D:$D,"1",Zamowienia!$G:$G,$A23,Zamowienia!N:N,"Węgry"))</f>
        <v>0</v>
      </c>
      <c r="P23" s="19">
        <f ca="1">IF($A23/(TODAY()-1)&gt;1,"",SUMIFS(Zamowienia!$K:$K,Zamowienia!$M:$M,"Osobiście/tel.",Zamowienia!$L:$L,"Mall.hu-*",Zamowienia!$D:$D,"1",Zamowienia!$G:$G,$A23,Zamowienia!$O:$O,"Greatstore"))</f>
        <v>0</v>
      </c>
      <c r="Q23" s="17">
        <f t="shared" ca="1" si="7"/>
        <v>0</v>
      </c>
      <c r="R23" s="18" t="str">
        <f t="shared" ca="1" si="14"/>
        <v/>
      </c>
      <c r="S23" s="20">
        <f t="shared" ca="1" si="8"/>
        <v>0</v>
      </c>
      <c r="T23" s="20">
        <f t="shared" ca="1" si="8"/>
        <v>0</v>
      </c>
      <c r="U23" s="21">
        <f t="shared" ca="1" si="9"/>
        <v>0</v>
      </c>
      <c r="V23" s="18" t="str">
        <f t="shared" ca="1" si="10"/>
        <v/>
      </c>
      <c r="AB23"/>
    </row>
    <row r="24" spans="1:28" ht="18.75" x14ac:dyDescent="0.25">
      <c r="A24" s="2">
        <v>45100</v>
      </c>
      <c r="B24" s="4" t="s">
        <v>6</v>
      </c>
      <c r="C24" s="16">
        <f ca="1">IF($A24/(TODAY()-1)&gt;1,"",SUMIFS(Zamowienia!$K:$K,Zamowienia!$M:$M,"Osobiście/tel.",Zamowienia!$L:$L,"Mall.cz-*",Zamowienia!$D:$D,"1",Zamowienia!$G:$G,$A24,Zamowienia!$O:$O,"Shumee"))</f>
        <v>0</v>
      </c>
      <c r="D24" s="16">
        <f ca="1">IF($A24/(TODAY()-1)&gt;1,"",SUMIFS(Zamowienia!$K:$K,Zamowienia!$M:$M,"Osobiście/tel.",Zamowienia!$L:$L,"Mall.cz-*",Zamowienia!$D:$D,"1",Zamowienia!$G:$G,$A24,Zamowienia!$O:$O,"Greatstore"))</f>
        <v>0</v>
      </c>
      <c r="E24" s="17">
        <f t="shared" ca="1" si="4"/>
        <v>0</v>
      </c>
      <c r="F24" s="18" t="str">
        <f t="shared" ca="1" si="11"/>
        <v/>
      </c>
      <c r="G24" s="16">
        <f ca="1">IF($A24/(TODAY()-1)&gt;1,"",SUMIFS(Zamowienia!$K:$K,Zamowienia!$M:$M,"Osobiście/tel.",Zamowienia!$L:$L,"Mall.sk-*",Zamowienia!$D:$D,"1",Zamowienia!$G:$G,$A24,Zamowienia!$O:$O,"Shumee"))</f>
        <v>0</v>
      </c>
      <c r="H24" s="19">
        <f ca="1">IF($A24/(TODAY()-1)&gt;1,"",SUMIFS(Zamowienia!$K:$K,Zamowienia!$M:$M,"Osobiście/tel.",Zamowienia!$L:$L,"Mall.sk-*",Zamowienia!$D:$D,"1",Zamowienia!$G:$G,$A24,Zamowienia!$O:$O,"Greatstore"))</f>
        <v>0</v>
      </c>
      <c r="I24" s="17">
        <f t="shared" ca="1" si="5"/>
        <v>0</v>
      </c>
      <c r="J24" s="18" t="str">
        <f t="shared" ca="1" si="12"/>
        <v/>
      </c>
      <c r="K24" s="16">
        <f ca="1">IF($A24/(TODAY()-1)&gt;1,"",SUMIFS(Zamowienia!$K:$K,Zamowienia!$M:$M,"Osobiście/tel.",Zamowienia!$L:$L,"Mimovrste.com-*",Zamowienia!$D:$D,"1",Zamowienia!$G:$G,$A24,Zamowienia!$O:$O,"Shumee"))</f>
        <v>0</v>
      </c>
      <c r="L24" s="19">
        <f ca="1">IF($A24/(TODAY()-1)&gt;1,"",SUMIFS(Zamowienia!$K:$K,Zamowienia!$M:$M,"Osobiście/tel.",Zamowienia!$L:$L,"Mimovrste.com-*",Zamowienia!$D:$D,"1",Zamowienia!$G:$G,$A24,Zamowienia!$O:$O,"Greatstore"))</f>
        <v>0</v>
      </c>
      <c r="M24" s="17">
        <f t="shared" ca="1" si="6"/>
        <v>0</v>
      </c>
      <c r="N24" s="18" t="str">
        <f t="shared" ca="1" si="13"/>
        <v/>
      </c>
      <c r="O24" s="16">
        <f ca="1">IF($A24/(TODAY()-1)&gt;1,"",SUMIFS(Zamowienia!$K:$K,Zamowienia!$M:$M,"Osobiście/tel.",Zamowienia!$L:$L,"shumee*",Zamowienia!$D:$D,"1",Zamowienia!$G:$G,$A24,Zamowienia!N:N,"Węgry"))</f>
        <v>0</v>
      </c>
      <c r="P24" s="19">
        <f ca="1">IF($A24/(TODAY()-1)&gt;1,"",SUMIFS(Zamowienia!$K:$K,Zamowienia!$M:$M,"Osobiście/tel.",Zamowienia!$L:$L,"Mall.hu-*",Zamowienia!$D:$D,"1",Zamowienia!$G:$G,$A24,Zamowienia!$O:$O,"Greatstore"))</f>
        <v>0</v>
      </c>
      <c r="Q24" s="17">
        <f t="shared" ca="1" si="7"/>
        <v>0</v>
      </c>
      <c r="R24" s="18" t="str">
        <f t="shared" ca="1" si="14"/>
        <v/>
      </c>
      <c r="S24" s="20">
        <f t="shared" ca="1" si="8"/>
        <v>0</v>
      </c>
      <c r="T24" s="20">
        <f t="shared" ca="1" si="8"/>
        <v>0</v>
      </c>
      <c r="U24" s="21">
        <f t="shared" ca="1" si="9"/>
        <v>0</v>
      </c>
      <c r="V24" s="18" t="str">
        <f t="shared" ca="1" si="10"/>
        <v/>
      </c>
      <c r="AB24"/>
    </row>
    <row r="25" spans="1:28" ht="18.75" x14ac:dyDescent="0.25">
      <c r="A25" s="2">
        <v>45101</v>
      </c>
      <c r="B25" s="9" t="s">
        <v>8</v>
      </c>
      <c r="C25" s="16">
        <f ca="1">IF($A25/(TODAY()-1)&gt;1,"",SUMIFS(Zamowienia!$K:$K,Zamowienia!$M:$M,"Osobiście/tel.",Zamowienia!$L:$L,"Mall.cz-*",Zamowienia!$D:$D,"1",Zamowienia!$G:$G,$A25,Zamowienia!$O:$O,"Shumee"))</f>
        <v>0</v>
      </c>
      <c r="D25" s="16">
        <f ca="1">IF($A25/(TODAY()-1)&gt;1,"",SUMIFS(Zamowienia!$K:$K,Zamowienia!$M:$M,"Osobiście/tel.",Zamowienia!$L:$L,"Mall.cz-*",Zamowienia!$D:$D,"1",Zamowienia!$G:$G,$A25,Zamowienia!$O:$O,"Greatstore"))</f>
        <v>0</v>
      </c>
      <c r="E25" s="17">
        <f t="shared" ca="1" si="4"/>
        <v>0</v>
      </c>
      <c r="F25" s="18" t="str">
        <f t="shared" ca="1" si="11"/>
        <v/>
      </c>
      <c r="G25" s="16">
        <f ca="1">IF($A25/(TODAY()-1)&gt;1,"",SUMIFS(Zamowienia!$K:$K,Zamowienia!$M:$M,"Osobiście/tel.",Zamowienia!$L:$L,"Mall.sk-*",Zamowienia!$D:$D,"1",Zamowienia!$G:$G,$A25,Zamowienia!$O:$O,"Shumee"))</f>
        <v>0</v>
      </c>
      <c r="H25" s="19">
        <f ca="1">IF($A25/(TODAY()-1)&gt;1,"",SUMIFS(Zamowienia!$K:$K,Zamowienia!$M:$M,"Osobiście/tel.",Zamowienia!$L:$L,"Mall.sk-*",Zamowienia!$D:$D,"1",Zamowienia!$G:$G,$A25,Zamowienia!$O:$O,"Greatstore"))</f>
        <v>0</v>
      </c>
      <c r="I25" s="17">
        <f t="shared" ca="1" si="5"/>
        <v>0</v>
      </c>
      <c r="J25" s="18" t="str">
        <f t="shared" ca="1" si="12"/>
        <v/>
      </c>
      <c r="K25" s="16">
        <f ca="1">IF($A25/(TODAY()-1)&gt;1,"",SUMIFS(Zamowienia!$K:$K,Zamowienia!$M:$M,"Osobiście/tel.",Zamowienia!$L:$L,"Mimovrste.com-*",Zamowienia!$D:$D,"1",Zamowienia!$G:$G,$A25,Zamowienia!$O:$O,"Shumee"))</f>
        <v>0</v>
      </c>
      <c r="L25" s="19">
        <f ca="1">IF($A25/(TODAY()-1)&gt;1,"",SUMIFS(Zamowienia!$K:$K,Zamowienia!$M:$M,"Osobiście/tel.",Zamowienia!$L:$L,"Mimovrste.com-*",Zamowienia!$D:$D,"1",Zamowienia!$G:$G,$A25,Zamowienia!$O:$O,"Greatstore"))</f>
        <v>0</v>
      </c>
      <c r="M25" s="17">
        <f t="shared" ca="1" si="6"/>
        <v>0</v>
      </c>
      <c r="N25" s="18" t="str">
        <f t="shared" ca="1" si="13"/>
        <v/>
      </c>
      <c r="O25" s="16">
        <f ca="1">IF($A25/(TODAY()-1)&gt;1,"",SUMIFS(Zamowienia!$K:$K,Zamowienia!$M:$M,"Osobiście/tel.",Zamowienia!$L:$L,"shumee*",Zamowienia!$D:$D,"1",Zamowienia!$G:$G,$A25,Zamowienia!N:N,"Węgry"))</f>
        <v>0</v>
      </c>
      <c r="P25" s="19">
        <f ca="1">IF($A25/(TODAY()-1)&gt;1,"",SUMIFS(Zamowienia!$K:$K,Zamowienia!$M:$M,"Osobiście/tel.",Zamowienia!$L:$L,"Mall.hu-*",Zamowienia!$D:$D,"1",Zamowienia!$G:$G,$A25,Zamowienia!$O:$O,"Greatstore"))</f>
        <v>0</v>
      </c>
      <c r="Q25" s="17">
        <f t="shared" ca="1" si="7"/>
        <v>0</v>
      </c>
      <c r="R25" s="18" t="str">
        <f t="shared" ca="1" si="14"/>
        <v/>
      </c>
      <c r="S25" s="20">
        <f t="shared" ca="1" si="8"/>
        <v>0</v>
      </c>
      <c r="T25" s="20">
        <f t="shared" ca="1" si="8"/>
        <v>0</v>
      </c>
      <c r="U25" s="21">
        <f t="shared" ca="1" si="9"/>
        <v>0</v>
      </c>
      <c r="V25" s="18" t="str">
        <f t="shared" ca="1" si="10"/>
        <v/>
      </c>
      <c r="AB25"/>
    </row>
    <row r="26" spans="1:28" ht="18.75" x14ac:dyDescent="0.25">
      <c r="A26" s="2">
        <v>45102</v>
      </c>
      <c r="B26" s="9" t="s">
        <v>10</v>
      </c>
      <c r="C26" s="16">
        <f ca="1">IF($A26/(TODAY()-1)&gt;1,"",SUMIFS(Zamowienia!$K:$K,Zamowienia!$M:$M,"Osobiście/tel.",Zamowienia!$L:$L,"Mall.cz-*",Zamowienia!$D:$D,"1",Zamowienia!$G:$G,$A26,Zamowienia!$O:$O,"Shumee"))</f>
        <v>0</v>
      </c>
      <c r="D26" s="16">
        <f ca="1">IF($A26/(TODAY()-1)&gt;1,"",SUMIFS(Zamowienia!$K:$K,Zamowienia!$M:$M,"Osobiście/tel.",Zamowienia!$L:$L,"Mall.cz-*",Zamowienia!$D:$D,"1",Zamowienia!$G:$G,$A26,Zamowienia!$O:$O,"Greatstore"))</f>
        <v>0</v>
      </c>
      <c r="E26" s="17">
        <f t="shared" ca="1" si="4"/>
        <v>0</v>
      </c>
      <c r="F26" s="18" t="str">
        <f t="shared" ca="1" si="11"/>
        <v/>
      </c>
      <c r="G26" s="16">
        <f ca="1">IF($A26/(TODAY()-1)&gt;1,"",SUMIFS(Zamowienia!$K:$K,Zamowienia!$M:$M,"Osobiście/tel.",Zamowienia!$L:$L,"Mall.sk-*",Zamowienia!$D:$D,"1",Zamowienia!$G:$G,$A26,Zamowienia!$O:$O,"Shumee"))</f>
        <v>0</v>
      </c>
      <c r="H26" s="19">
        <f ca="1">IF($A26/(TODAY()-1)&gt;1,"",SUMIFS(Zamowienia!$K:$K,Zamowienia!$M:$M,"Osobiście/tel.",Zamowienia!$L:$L,"Mall.sk-*",Zamowienia!$D:$D,"1",Zamowienia!$G:$G,$A26,Zamowienia!$O:$O,"Greatstore"))</f>
        <v>0</v>
      </c>
      <c r="I26" s="17">
        <f t="shared" ca="1" si="5"/>
        <v>0</v>
      </c>
      <c r="J26" s="18" t="str">
        <f t="shared" ca="1" si="12"/>
        <v/>
      </c>
      <c r="K26" s="16">
        <f ca="1">IF($A26/(TODAY()-1)&gt;1,"",SUMIFS(Zamowienia!$K:$K,Zamowienia!$M:$M,"Osobiście/tel.",Zamowienia!$L:$L,"Mimovrste.com-*",Zamowienia!$D:$D,"1",Zamowienia!$G:$G,$A26,Zamowienia!$O:$O,"Shumee"))</f>
        <v>0</v>
      </c>
      <c r="L26" s="19">
        <f ca="1">IF($A26/(TODAY()-1)&gt;1,"",SUMIFS(Zamowienia!$K:$K,Zamowienia!$M:$M,"Osobiście/tel.",Zamowienia!$L:$L,"Mimovrste.com-*",Zamowienia!$D:$D,"1",Zamowienia!$G:$G,$A26,Zamowienia!$O:$O,"Greatstore"))</f>
        <v>0</v>
      </c>
      <c r="M26" s="17">
        <f t="shared" ca="1" si="6"/>
        <v>0</v>
      </c>
      <c r="N26" s="18" t="str">
        <f t="shared" ca="1" si="13"/>
        <v/>
      </c>
      <c r="O26" s="16">
        <f ca="1">IF($A26/(TODAY()-1)&gt;1,"",SUMIFS(Zamowienia!$K:$K,Zamowienia!$M:$M,"Osobiście/tel.",Zamowienia!$L:$L,"shumee*",Zamowienia!$D:$D,"1",Zamowienia!$G:$G,$A26,Zamowienia!N:N,"Węgry"))</f>
        <v>0</v>
      </c>
      <c r="P26" s="19">
        <f ca="1">IF($A26/(TODAY()-1)&gt;1,"",SUMIFS(Zamowienia!$K:$K,Zamowienia!$M:$M,"Osobiście/tel.",Zamowienia!$L:$L,"Mall.hu-*",Zamowienia!$D:$D,"1",Zamowienia!$G:$G,$A26,Zamowienia!$O:$O,"Greatstore"))</f>
        <v>0</v>
      </c>
      <c r="Q26" s="17">
        <f t="shared" ca="1" si="7"/>
        <v>0</v>
      </c>
      <c r="R26" s="18" t="str">
        <f t="shared" ca="1" si="14"/>
        <v/>
      </c>
      <c r="S26" s="20">
        <f t="shared" ca="1" si="8"/>
        <v>0</v>
      </c>
      <c r="T26" s="20">
        <f t="shared" ca="1" si="8"/>
        <v>0</v>
      </c>
      <c r="U26" s="21">
        <f t="shared" ca="1" si="9"/>
        <v>0</v>
      </c>
      <c r="V26" s="18" t="str">
        <f t="shared" ca="1" si="10"/>
        <v/>
      </c>
      <c r="AB26"/>
    </row>
    <row r="27" spans="1:28" ht="18.75" x14ac:dyDescent="0.25">
      <c r="A27" s="2">
        <v>45103</v>
      </c>
      <c r="B27" s="10" t="s">
        <v>6</v>
      </c>
      <c r="C27" s="16">
        <f ca="1">IF($A27/(TODAY()-1)&gt;1,"",SUMIFS(Zamowienia!$K:$K,Zamowienia!$M:$M,"Osobiście/tel.",Zamowienia!$L:$L,"Mall.cz-*",Zamowienia!$D:$D,"1",Zamowienia!$G:$G,$A27,Zamowienia!$O:$O,"Shumee"))</f>
        <v>0</v>
      </c>
      <c r="D27" s="16">
        <f ca="1">IF($A27/(TODAY()-1)&gt;1,"",SUMIFS(Zamowienia!$K:$K,Zamowienia!$M:$M,"Osobiście/tel.",Zamowienia!$L:$L,"Mall.cz-*",Zamowienia!$D:$D,"1",Zamowienia!$G:$G,$A27,Zamowienia!$O:$O,"Greatstore"))</f>
        <v>0</v>
      </c>
      <c r="E27" s="17">
        <f t="shared" ca="1" si="4"/>
        <v>0</v>
      </c>
      <c r="F27" s="18" t="str">
        <f t="shared" ca="1" si="11"/>
        <v/>
      </c>
      <c r="G27" s="16">
        <f ca="1">IF($A27/(TODAY()-1)&gt;1,"",SUMIFS(Zamowienia!$K:$K,Zamowienia!$M:$M,"Osobiście/tel.",Zamowienia!$L:$L,"Mall.sk-*",Zamowienia!$D:$D,"1",Zamowienia!$G:$G,$A27,Zamowienia!$O:$O,"Shumee"))</f>
        <v>0</v>
      </c>
      <c r="H27" s="19">
        <f ca="1">IF($A27/(TODAY()-1)&gt;1,"",SUMIFS(Zamowienia!$K:$K,Zamowienia!$M:$M,"Osobiście/tel.",Zamowienia!$L:$L,"Mall.sk-*",Zamowienia!$D:$D,"1",Zamowienia!$G:$G,$A27,Zamowienia!$O:$O,"Greatstore"))</f>
        <v>0</v>
      </c>
      <c r="I27" s="17">
        <f t="shared" ca="1" si="5"/>
        <v>0</v>
      </c>
      <c r="J27" s="18" t="str">
        <f t="shared" ca="1" si="12"/>
        <v/>
      </c>
      <c r="K27" s="16">
        <f ca="1">IF($A27/(TODAY()-1)&gt;1,"",SUMIFS(Zamowienia!$K:$K,Zamowienia!$M:$M,"Osobiście/tel.",Zamowienia!$L:$L,"Mimovrste.com-*",Zamowienia!$D:$D,"1",Zamowienia!$G:$G,$A27,Zamowienia!$O:$O,"Shumee"))</f>
        <v>0</v>
      </c>
      <c r="L27" s="19">
        <f ca="1">IF($A27/(TODAY()-1)&gt;1,"",SUMIFS(Zamowienia!$K:$K,Zamowienia!$M:$M,"Osobiście/tel.",Zamowienia!$L:$L,"Mimovrste.com-*",Zamowienia!$D:$D,"1",Zamowienia!$G:$G,$A27,Zamowienia!$O:$O,"Greatstore"))</f>
        <v>0</v>
      </c>
      <c r="M27" s="17">
        <f t="shared" ca="1" si="6"/>
        <v>0</v>
      </c>
      <c r="N27" s="18" t="str">
        <f t="shared" ca="1" si="13"/>
        <v/>
      </c>
      <c r="O27" s="16">
        <f ca="1">IF($A27/(TODAY()-1)&gt;1,"",SUMIFS(Zamowienia!$K:$K,Zamowienia!$M:$M,"Osobiście/tel.",Zamowienia!$L:$L,"shumee*",Zamowienia!$D:$D,"1",Zamowienia!$G:$G,$A27,Zamowienia!N:N,"Węgry"))</f>
        <v>0</v>
      </c>
      <c r="P27" s="19">
        <f ca="1">IF($A27/(TODAY()-1)&gt;1,"",SUMIFS(Zamowienia!$K:$K,Zamowienia!$M:$M,"Osobiście/tel.",Zamowienia!$L:$L,"Mall.hu-*",Zamowienia!$D:$D,"1",Zamowienia!$G:$G,$A27,Zamowienia!$O:$O,"Greatstore"))</f>
        <v>0</v>
      </c>
      <c r="Q27" s="17">
        <f t="shared" ca="1" si="7"/>
        <v>0</v>
      </c>
      <c r="R27" s="18" t="str">
        <f t="shared" ca="1" si="14"/>
        <v/>
      </c>
      <c r="S27" s="20">
        <f t="shared" ca="1" si="8"/>
        <v>0</v>
      </c>
      <c r="T27" s="20">
        <f t="shared" ca="1" si="8"/>
        <v>0</v>
      </c>
      <c r="U27" s="21">
        <f t="shared" ca="1" si="9"/>
        <v>0</v>
      </c>
      <c r="V27" s="18" t="str">
        <f t="shared" ca="1" si="10"/>
        <v/>
      </c>
      <c r="AB27"/>
    </row>
    <row r="28" spans="1:28" ht="18.75" x14ac:dyDescent="0.25">
      <c r="A28" s="2">
        <v>45104</v>
      </c>
      <c r="B28" s="4" t="s">
        <v>11</v>
      </c>
      <c r="C28" s="16">
        <f ca="1">IF($A28/(TODAY()-1)&gt;1,"",SUMIFS(Zamowienia!$K:$K,Zamowienia!$M:$M,"Osobiście/tel.",Zamowienia!$L:$L,"Mall.cz-*",Zamowienia!$D:$D,"1",Zamowienia!$G:$G,$A28,Zamowienia!$O:$O,"Shumee"))</f>
        <v>0</v>
      </c>
      <c r="D28" s="16">
        <f ca="1">IF($A28/(TODAY()-1)&gt;1,"",SUMIFS(Zamowienia!$K:$K,Zamowienia!$M:$M,"Osobiście/tel.",Zamowienia!$L:$L,"Mall.cz-*",Zamowienia!$D:$D,"1",Zamowienia!$G:$G,$A28,Zamowienia!$O:$O,"Greatstore"))</f>
        <v>0</v>
      </c>
      <c r="E28" s="17">
        <f t="shared" ca="1" si="4"/>
        <v>0</v>
      </c>
      <c r="F28" s="18" t="str">
        <f ca="1">IFERROR(D28/E28,"")</f>
        <v/>
      </c>
      <c r="G28" s="16">
        <f ca="1">IF($A28/(TODAY()-1)&gt;1,"",SUMIFS(Zamowienia!$K:$K,Zamowienia!$M:$M,"Osobiście/tel.",Zamowienia!$L:$L,"Mall.sk-*",Zamowienia!$D:$D,"1",Zamowienia!$G:$G,$A28,Zamowienia!$O:$O,"Shumee"))</f>
        <v>0</v>
      </c>
      <c r="H28" s="19">
        <f ca="1">IF($A28/(TODAY()-1)&gt;1,"",SUMIFS(Zamowienia!$K:$K,Zamowienia!$M:$M,"Osobiście/tel.",Zamowienia!$L:$L,"Mall.sk-*",Zamowienia!$D:$D,"1",Zamowienia!$G:$G,$A28,Zamowienia!$O:$O,"Greatstore"))</f>
        <v>0</v>
      </c>
      <c r="I28" s="17">
        <f t="shared" ca="1" si="5"/>
        <v>0</v>
      </c>
      <c r="J28" s="18" t="str">
        <f ca="1">IFERROR(H28/I28,"")</f>
        <v/>
      </c>
      <c r="K28" s="16">
        <f ca="1">IF($A28/(TODAY()-1)&gt;1,"",SUMIFS(Zamowienia!$K:$K,Zamowienia!$M:$M,"Osobiście/tel.",Zamowienia!$L:$L,"Mimovrste.com-*",Zamowienia!$D:$D,"1",Zamowienia!$G:$G,$A28,Zamowienia!$O:$O,"Shumee"))</f>
        <v>0</v>
      </c>
      <c r="L28" s="19">
        <f ca="1">IF($A28/(TODAY()-1)&gt;1,"",SUMIFS(Zamowienia!$K:$K,Zamowienia!$M:$M,"Osobiście/tel.",Zamowienia!$L:$L,"Mimovrste.com-*",Zamowienia!$D:$D,"1",Zamowienia!$G:$G,$A28,Zamowienia!$O:$O,"Greatstore"))</f>
        <v>0</v>
      </c>
      <c r="M28" s="17">
        <f t="shared" ca="1" si="6"/>
        <v>0</v>
      </c>
      <c r="N28" s="18" t="str">
        <f ca="1">IFERROR(L28/M28,"")</f>
        <v/>
      </c>
      <c r="O28" s="16">
        <f ca="1">IF($A28/(TODAY()-1)&gt;1,"",SUMIFS(Zamowienia!$K:$K,Zamowienia!$M:$M,"Osobiście/tel.",Zamowienia!$L:$L,"shumee*",Zamowienia!$D:$D,"1",Zamowienia!$G:$G,$A28,Zamowienia!N:N,"Węgry"))</f>
        <v>0</v>
      </c>
      <c r="P28" s="19">
        <f ca="1">IF($A28/(TODAY()-1)&gt;1,"",SUMIFS(Zamowienia!$K:$K,Zamowienia!$M:$M,"Osobiście/tel.",Zamowienia!$L:$L,"Mall.hu-*",Zamowienia!$D:$D,"1",Zamowienia!$G:$G,$A28,Zamowienia!$O:$O,"Greatstore"))</f>
        <v>0</v>
      </c>
      <c r="Q28" s="17">
        <f t="shared" ca="1" si="7"/>
        <v>0</v>
      </c>
      <c r="R28" s="18" t="str">
        <f ca="1">IFERROR(P28/Q28,"")</f>
        <v/>
      </c>
      <c r="S28" s="20">
        <f t="shared" ca="1" si="8"/>
        <v>0</v>
      </c>
      <c r="T28" s="20">
        <f t="shared" ca="1" si="8"/>
        <v>0</v>
      </c>
      <c r="U28" s="21">
        <f t="shared" ca="1" si="9"/>
        <v>0</v>
      </c>
      <c r="V28" s="18" t="str">
        <f t="shared" ca="1" si="10"/>
        <v/>
      </c>
      <c r="AA28" s="7"/>
      <c r="AB28"/>
    </row>
    <row r="29" spans="1:28" ht="18.75" x14ac:dyDescent="0.25">
      <c r="A29" s="2">
        <v>45105</v>
      </c>
      <c r="B29" s="4" t="s">
        <v>13</v>
      </c>
      <c r="C29" s="16">
        <f ca="1">IF($A29/(TODAY()-1)&gt;1,"",SUMIFS(Zamowienia!$K:$K,Zamowienia!$M:$M,"Osobiście/tel.",Zamowienia!$L:$L,"Mall.cz-*",Zamowienia!$D:$D,"1",Zamowienia!$G:$G,$A29,Zamowienia!$O:$O,"Shumee"))</f>
        <v>0</v>
      </c>
      <c r="D29" s="16">
        <f ca="1">IF($A29/(TODAY()-1)&gt;1,"",SUMIFS(Zamowienia!$K:$K,Zamowienia!$M:$M,"Osobiście/tel.",Zamowienia!$L:$L,"Mall.cz-*",Zamowienia!$D:$D,"1",Zamowienia!$G:$G,$A29,Zamowienia!$O:$O,"Greatstore"))</f>
        <v>0</v>
      </c>
      <c r="E29" s="17">
        <f t="shared" ca="1" si="4"/>
        <v>0</v>
      </c>
      <c r="F29" s="18" t="str">
        <f ca="1">IFERROR(D29/E29,"")</f>
        <v/>
      </c>
      <c r="G29" s="16">
        <f ca="1">IF($A29/(TODAY()-1)&gt;1,"",SUMIFS(Zamowienia!$K:$K,Zamowienia!$M:$M,"Osobiście/tel.",Zamowienia!$L:$L,"Mall.sk-*",Zamowienia!$D:$D,"1",Zamowienia!$G:$G,$A29,Zamowienia!$O:$O,"Shumee"))</f>
        <v>0</v>
      </c>
      <c r="H29" s="19">
        <f ca="1">IF($A29/(TODAY()-1)&gt;1,"",SUMIFS(Zamowienia!$K:$K,Zamowienia!$M:$M,"Osobiście/tel.",Zamowienia!$L:$L,"Mall.sk-*",Zamowienia!$D:$D,"1",Zamowienia!$G:$G,$A29,Zamowienia!$O:$O,"Greatstore"))</f>
        <v>0</v>
      </c>
      <c r="I29" s="17">
        <f t="shared" ca="1" si="5"/>
        <v>0</v>
      </c>
      <c r="J29" s="18" t="str">
        <f ca="1">IFERROR(H29/I29,"")</f>
        <v/>
      </c>
      <c r="K29" s="16">
        <f ca="1">IF($A29/(TODAY()-1)&gt;1,"",SUMIFS(Zamowienia!$K:$K,Zamowienia!$M:$M,"Osobiście/tel.",Zamowienia!$L:$L,"Mimovrste.com-*",Zamowienia!$D:$D,"1",Zamowienia!$G:$G,$A29,Zamowienia!$O:$O,"Shumee"))</f>
        <v>0</v>
      </c>
      <c r="L29" s="19">
        <f ca="1">IF($A29/(TODAY()-1)&gt;1,"",SUMIFS(Zamowienia!$K:$K,Zamowienia!$M:$M,"Osobiście/tel.",Zamowienia!$L:$L,"Mimovrste.com-*",Zamowienia!$D:$D,"1",Zamowienia!$G:$G,$A29,Zamowienia!$O:$O,"Greatstore"))</f>
        <v>0</v>
      </c>
      <c r="M29" s="17">
        <f t="shared" ca="1" si="6"/>
        <v>0</v>
      </c>
      <c r="N29" s="18" t="str">
        <f ca="1">IFERROR(L29/M29,"")</f>
        <v/>
      </c>
      <c r="O29" s="16">
        <f ca="1">IF($A29/(TODAY()-1)&gt;1,"",SUMIFS(Zamowienia!$K:$K,Zamowienia!$M:$M,"Osobiście/tel.",Zamowienia!$L:$L,"shumee*",Zamowienia!$D:$D,"1",Zamowienia!$G:$G,$A29,Zamowienia!N:N,"Węgry"))</f>
        <v>0</v>
      </c>
      <c r="P29" s="19">
        <f ca="1">IF($A29/(TODAY()-1)&gt;1,"",SUMIFS(Zamowienia!$K:$K,Zamowienia!$M:$M,"Osobiście/tel.",Zamowienia!$L:$L,"Mall.hu-*",Zamowienia!$D:$D,"1",Zamowienia!$G:$G,$A29,Zamowienia!$O:$O,"Greatstore"))</f>
        <v>0</v>
      </c>
      <c r="Q29" s="17">
        <f t="shared" ca="1" si="7"/>
        <v>0</v>
      </c>
      <c r="R29" s="18" t="str">
        <f ca="1">IFERROR(P29/Q29,"")</f>
        <v/>
      </c>
      <c r="S29" s="20">
        <f t="shared" ca="1" si="8"/>
        <v>0</v>
      </c>
      <c r="T29" s="20">
        <f t="shared" ca="1" si="8"/>
        <v>0</v>
      </c>
      <c r="U29" s="21">
        <f t="shared" ca="1" si="9"/>
        <v>0</v>
      </c>
      <c r="V29" s="18" t="str">
        <f t="shared" ca="1" si="10"/>
        <v/>
      </c>
      <c r="AB29"/>
    </row>
    <row r="30" spans="1:28" ht="18.75" x14ac:dyDescent="0.25">
      <c r="A30" s="2">
        <v>45106</v>
      </c>
      <c r="B30" s="4" t="s">
        <v>3</v>
      </c>
      <c r="C30" s="16">
        <f ca="1">IF($A30/(TODAY()-1)&gt;1,"",SUMIFS(Zamowienia!$K:$K,Zamowienia!$M:$M,"Osobiście/tel.",Zamowienia!$L:$L,"Mall.cz-*",Zamowienia!$D:$D,"1",Zamowienia!$G:$G,$A30,Zamowienia!$O:$O,"Shumee"))</f>
        <v>0</v>
      </c>
      <c r="D30" s="16">
        <f ca="1">IF($A30/(TODAY()-1)&gt;1,"",SUMIFS(Zamowienia!$K:$K,Zamowienia!$M:$M,"Osobiście/tel.",Zamowienia!$L:$L,"Mall.cz-*",Zamowienia!$D:$D,"1",Zamowienia!$G:$G,$A30,Zamowienia!$O:$O,"Greatstore"))</f>
        <v>0</v>
      </c>
      <c r="E30" s="17">
        <f t="shared" ca="1" si="4"/>
        <v>0</v>
      </c>
      <c r="F30" s="18" t="str">
        <f t="shared" ref="F30" ca="1" si="15">IFERROR(D30/E30,"")</f>
        <v/>
      </c>
      <c r="G30" s="16">
        <f ca="1">IF($A30/(TODAY()-1)&gt;1,"",SUMIFS(Zamowienia!$K:$K,Zamowienia!$M:$M,"Osobiście/tel.",Zamowienia!$L:$L,"Mall.sk-*",Zamowienia!$D:$D,"1",Zamowienia!$G:$G,$A30,Zamowienia!$O:$O,"Shumee"))</f>
        <v>0</v>
      </c>
      <c r="H30" s="19">
        <f ca="1">IF($A30/(TODAY()-1)&gt;1,"",SUMIFS(Zamowienia!$K:$K,Zamowienia!$M:$M,"Osobiście/tel.",Zamowienia!$L:$L,"Mall.sk-*",Zamowienia!$D:$D,"1",Zamowienia!$G:$G,$A30,Zamowienia!$O:$O,"Greatstore"))</f>
        <v>0</v>
      </c>
      <c r="I30" s="17">
        <f t="shared" ca="1" si="5"/>
        <v>0</v>
      </c>
      <c r="J30" s="18" t="str">
        <f t="shared" ref="J30" ca="1" si="16">IFERROR(H30/I30,"")</f>
        <v/>
      </c>
      <c r="K30" s="16">
        <f ca="1">IF($A30/(TODAY()-1)&gt;1,"",SUMIFS(Zamowienia!$K:$K,Zamowienia!$M:$M,"Osobiście/tel.",Zamowienia!$L:$L,"Mimovrste.com-*",Zamowienia!$D:$D,"1",Zamowienia!$G:$G,$A30,Zamowienia!$O:$O,"Shumee"))</f>
        <v>0</v>
      </c>
      <c r="L30" s="19">
        <f ca="1">IF($A30/(TODAY()-1)&gt;1,"",SUMIFS(Zamowienia!$K:$K,Zamowienia!$M:$M,"Osobiście/tel.",Zamowienia!$L:$L,"Mimovrste.com-*",Zamowienia!$D:$D,"1",Zamowienia!$G:$G,$A30,Zamowienia!$O:$O,"Greatstore"))</f>
        <v>0</v>
      </c>
      <c r="M30" s="17">
        <f t="shared" ca="1" si="6"/>
        <v>0</v>
      </c>
      <c r="N30" s="18" t="str">
        <f t="shared" ref="N30" ca="1" si="17">IFERROR(L30/M30,"")</f>
        <v/>
      </c>
      <c r="O30" s="16">
        <f ca="1">IF($A30/(TODAY()-1)&gt;1,"",SUMIFS(Zamowienia!$K:$K,Zamowienia!$M:$M,"Osobiście/tel.",Zamowienia!$L:$L,"shumee*",Zamowienia!$D:$D,"1",Zamowienia!$G:$G,$A30,Zamowienia!N:N,"Węgry"))</f>
        <v>0</v>
      </c>
      <c r="P30" s="19">
        <f ca="1">IF($A30/(TODAY()-1)&gt;1,"",SUMIFS(Zamowienia!$K:$K,Zamowienia!$M:$M,"Osobiście/tel.",Zamowienia!$L:$L,"Mall.hu-*",Zamowienia!$D:$D,"1",Zamowienia!$G:$G,$A30,Zamowienia!$O:$O,"Greatstore"))</f>
        <v>0</v>
      </c>
      <c r="Q30" s="17">
        <f t="shared" ca="1" si="7"/>
        <v>0</v>
      </c>
      <c r="R30" s="18" t="str">
        <f t="shared" ref="R30" ca="1" si="18">IFERROR(P30/Q30,"")</f>
        <v/>
      </c>
      <c r="S30" s="20">
        <f t="shared" ca="1" si="8"/>
        <v>0</v>
      </c>
      <c r="T30" s="20">
        <f t="shared" ca="1" si="8"/>
        <v>0</v>
      </c>
      <c r="U30" s="21">
        <f t="shared" ca="1" si="9"/>
        <v>0</v>
      </c>
      <c r="V30" s="18" t="str">
        <f t="shared" ca="1" si="10"/>
        <v/>
      </c>
      <c r="AB30"/>
    </row>
    <row r="31" spans="1:28" ht="18.75" x14ac:dyDescent="0.25">
      <c r="A31" s="2">
        <v>45107</v>
      </c>
      <c r="B31" s="4" t="s">
        <v>6</v>
      </c>
      <c r="C31" s="16">
        <f ca="1">IF($A31/(TODAY()-1)&gt;1,"",SUMIFS(Zamowienia!$K:$K,Zamowienia!$M:$M,"Osobiście/tel.",Zamowienia!$L:$L,"Mall.cz-*",Zamowienia!$D:$D,"1",Zamowienia!$G:$G,$A31,Zamowienia!$O:$O,"Shumee"))</f>
        <v>0</v>
      </c>
      <c r="D31" s="16">
        <f ca="1">IF($A31/(TODAY()-1)&gt;1,"",SUMIFS(Zamowienia!$K:$K,Zamowienia!$M:$M,"Osobiście/tel.",Zamowienia!$L:$L,"Mall.cz-*",Zamowienia!$D:$D,"1",Zamowienia!$G:$G,$A31,Zamowienia!$O:$O,"Greatstore"))</f>
        <v>0</v>
      </c>
      <c r="E31" s="17">
        <f t="shared" ca="1" si="4"/>
        <v>0</v>
      </c>
      <c r="F31" s="18" t="str">
        <f ca="1">IFERROR(D31/E31,"")</f>
        <v/>
      </c>
      <c r="G31" s="16">
        <f ca="1">IF($A31/(TODAY()-1)&gt;1,"",SUMIFS(Zamowienia!$K:$K,Zamowienia!$M:$M,"Osobiście/tel.",Zamowienia!$L:$L,"Mall.sk-*",Zamowienia!$D:$D,"1",Zamowienia!$G:$G,$A31,Zamowienia!$O:$O,"Shumee"))</f>
        <v>0</v>
      </c>
      <c r="H31" s="19">
        <f ca="1">IF($A31/(TODAY()-1)&gt;1,"",SUMIFS(Zamowienia!$K:$K,Zamowienia!$M:$M,"Osobiście/tel.",Zamowienia!$L:$L,"Mall.sk-*",Zamowienia!$D:$D,"1",Zamowienia!$G:$G,$A31,Zamowienia!$O:$O,"Greatstore"))</f>
        <v>0</v>
      </c>
      <c r="I31" s="17">
        <f t="shared" ca="1" si="5"/>
        <v>0</v>
      </c>
      <c r="J31" s="18" t="str">
        <f ca="1">IFERROR(H31/I31,"")</f>
        <v/>
      </c>
      <c r="K31" s="16">
        <f ca="1">IF($A31/(TODAY()-1)&gt;1,"",SUMIFS(Zamowienia!$K:$K,Zamowienia!$M:$M,"Osobiście/tel.",Zamowienia!$L:$L,"Mimovrste.com-*",Zamowienia!$D:$D,"1",Zamowienia!$G:$G,$A31,Zamowienia!$O:$O,"Shumee"))</f>
        <v>0</v>
      </c>
      <c r="L31" s="19">
        <f ca="1">IF($A31/(TODAY()-1)&gt;1,"",SUMIFS(Zamowienia!$K:$K,Zamowienia!$M:$M,"Osobiście/tel.",Zamowienia!$L:$L,"Mimovrste.com-*",Zamowienia!$D:$D,"1",Zamowienia!$G:$G,$A31,Zamowienia!$O:$O,"Greatstore"))</f>
        <v>0</v>
      </c>
      <c r="M31" s="17">
        <f t="shared" ca="1" si="6"/>
        <v>0</v>
      </c>
      <c r="N31" s="18" t="str">
        <f ca="1">IFERROR(L31/M31,"")</f>
        <v/>
      </c>
      <c r="O31" s="16">
        <f ca="1">IF($A31/(TODAY()-1)&gt;1,"",SUMIFS(Zamowienia!$K:$K,Zamowienia!$M:$M,"Osobiście/tel.",Zamowienia!$L:$L,"shumee*",Zamowienia!$D:$D,"1",Zamowienia!$G:$G,$A31,Zamowienia!N:N,"Węgry"))</f>
        <v>0</v>
      </c>
      <c r="P31" s="19">
        <f ca="1">IF($A31/(TODAY()-1)&gt;1,"",SUMIFS(Zamowienia!$K:$K,Zamowienia!$M:$M,"Osobiście/tel.",Zamowienia!$L:$L,"Mall.hu-*",Zamowienia!$D:$D,"1",Zamowienia!$G:$G,$A31,Zamowienia!$O:$O,"Greatstore"))</f>
        <v>0</v>
      </c>
      <c r="Q31" s="17">
        <f t="shared" ca="1" si="7"/>
        <v>0</v>
      </c>
      <c r="R31" s="18" t="str">
        <f ca="1">IFERROR(P31/Q31,"")</f>
        <v/>
      </c>
      <c r="S31" s="20">
        <f t="shared" ca="1" si="8"/>
        <v>0</v>
      </c>
      <c r="T31" s="20">
        <f t="shared" ca="1" si="8"/>
        <v>0</v>
      </c>
      <c r="U31" s="21">
        <f t="shared" ca="1" si="9"/>
        <v>0</v>
      </c>
      <c r="V31" s="18" t="str">
        <f t="shared" ca="1" si="10"/>
        <v/>
      </c>
      <c r="AB31"/>
    </row>
  </sheetData>
  <conditionalFormatting sqref="AA3 AA6 AA9 AA12">
    <cfRule type="cellIs" dxfId="37" priority="3" operator="lessThan">
      <formula>1</formula>
    </cfRule>
    <cfRule type="cellIs" dxfId="36" priority="4" operator="greaterThanOrEqual">
      <formula>1</formula>
    </cfRule>
  </conditionalFormatting>
  <conditionalFormatting sqref="AA16">
    <cfRule type="cellIs" dxfId="35" priority="1" operator="lessThan">
      <formula>1</formula>
    </cfRule>
    <cfRule type="cellIs" dxfId="34" priority="2" operator="greaterThanOr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6C7FF-FE24-4A0F-A886-EE79AE41708D}">
  <dimension ref="A1:N31"/>
  <sheetViews>
    <sheetView workbookViewId="0">
      <selection activeCell="M3" sqref="M3"/>
    </sheetView>
  </sheetViews>
  <sheetFormatPr defaultRowHeight="15" x14ac:dyDescent="0.25"/>
  <cols>
    <col min="1" max="1" width="14.28515625" bestFit="1" customWidth="1"/>
    <col min="3" max="6" width="12.7109375" customWidth="1"/>
    <col min="7" max="7" width="12.42578125" style="25" bestFit="1" customWidth="1"/>
    <col min="8" max="8" width="11.28515625" style="25" customWidth="1"/>
    <col min="9" max="9" width="13.85546875" bestFit="1" customWidth="1"/>
    <col min="10" max="10" width="14.140625" bestFit="1" customWidth="1"/>
    <col min="11" max="11" width="15.85546875" customWidth="1"/>
    <col min="12" max="12" width="9.28515625" bestFit="1" customWidth="1"/>
    <col min="13" max="13" width="18" bestFit="1" customWidth="1"/>
    <col min="14" max="14" width="10.7109375" bestFit="1" customWidth="1"/>
  </cols>
  <sheetData>
    <row r="1" spans="1:14" ht="15.75" x14ac:dyDescent="0.25">
      <c r="C1" s="24" t="s">
        <v>0</v>
      </c>
      <c r="D1" s="24" t="s">
        <v>1</v>
      </c>
      <c r="E1" s="24" t="s">
        <v>36</v>
      </c>
      <c r="F1" s="24" t="s">
        <v>37</v>
      </c>
      <c r="G1" s="24" t="s">
        <v>2</v>
      </c>
      <c r="H1" s="3"/>
    </row>
    <row r="2" spans="1:14" ht="18.75" x14ac:dyDescent="0.25">
      <c r="A2" s="2">
        <v>45078</v>
      </c>
      <c r="B2" s="4" t="s">
        <v>3</v>
      </c>
      <c r="C2" s="3">
        <f ca="1">IF($A2/(TODAY()-1)&gt;1,"",SUMIFS(Zamowienia!$K:$K,Zamowienia!$M:$M,"Osobiście/tel.",Zamowienia!$L:$L,"Mall.cz-*",Zamowienia!$D:$D,"1",Zamowienia!$G:$G,$A2,Zamowienia!$O:$O,"Extra")+SUMIFS(Zamowienia!$K:$K,Zamowienia!$M:$M,"Mall.cz",Zamowienia!$D:$D,"1",Zamowienia!$G:$G,$A2))</f>
        <v>0</v>
      </c>
      <c r="D2" s="3">
        <f ca="1">IF($A2/(TODAY()-1)&gt;1,"",SUMIFS(Zamowienia!$K:$K,Zamowienia!$M:$M,"Osobiście/tel.",Zamowienia!$L:$L,"Mall.sk-*",Zamowienia!$D:$D,"1",Zamowienia!$G:$G,$A2,Zamowienia!$O:$O,"Extra")+SUMIFS(Zamowienia!$K:$K,Zamowienia!$M:$M,"Mall.sk",Zamowienia!$D:$D,"1",Zamowienia!$G:$G,$A2))</f>
        <v>0</v>
      </c>
      <c r="E2" s="3">
        <f ca="1">IF($A2/(TODAY()-1)&gt;1,"",SUMIFS(Zamowienia!$K:$K,Zamowienia!$M:$M,"Osobiście/tel.",Zamowienia!$L:$L,"Mimovrste.com-*",Zamowienia!$D:$D,"1",Zamowienia!$G:$G,$A2,Zamowienia!$O:$O,"Extra")+SUMIFS(Zamowienia!$K:$K,Zamowienia!$M:$M,"Mimovrste.com",Zamowienia!$D:$D,"1",Zamowienia!$G:$G,$A2))</f>
        <v>0</v>
      </c>
      <c r="F2" s="3">
        <f ca="1">IF($A2/(TODAY()-1)&gt;1,"",SUMIFS(Zamowienia!$K:$K,Zamowienia!$H:$H,"Mall Extrastore HU",Zamowienia!$D:$D,"1",Zamowienia!$G:$G,A2))</f>
        <v>0</v>
      </c>
      <c r="G2" s="3">
        <f ca="1">IF($A2/(TODAY()-1)&gt;1,"",SUM(C2:F2))</f>
        <v>0</v>
      </c>
      <c r="H2" s="3"/>
      <c r="I2" t="s">
        <v>38</v>
      </c>
      <c r="K2" t="s">
        <v>4</v>
      </c>
      <c r="L2" t="s">
        <v>5</v>
      </c>
      <c r="M2" t="str">
        <f ca="1">"Realizacja " &amp; TEXT(DATE(YEAR(TODAY()),MONTH(TODAY())-1,1),"MM.RRRR")</f>
        <v>Realizacja 06.2023</v>
      </c>
    </row>
    <row r="3" spans="1:14" ht="18.75" x14ac:dyDescent="0.25">
      <c r="A3" s="2">
        <v>45079</v>
      </c>
      <c r="B3" s="4" t="s">
        <v>6</v>
      </c>
      <c r="C3" s="3">
        <f ca="1">IF($A3/(TODAY()-1)&gt;1,"",SUMIFS(Zamowienia!$K:$K,Zamowienia!$M:$M,"Osobiście/tel.",Zamowienia!$L:$L,"Mall.cz-*",Zamowienia!$D:$D,"1",Zamowienia!$G:$G,$A3,Zamowienia!$O:$O,"Extra")+SUMIFS(Zamowienia!$K:$K,Zamowienia!$M:$M,"Mall.cz",Zamowienia!$D:$D,"1",Zamowienia!$G:$G,$A3))</f>
        <v>0</v>
      </c>
      <c r="D3" s="3">
        <f ca="1">IF($A3/(TODAY()-1)&gt;1,"",SUMIFS(Zamowienia!$K:$K,Zamowienia!$M:$M,"Osobiście/tel.",Zamowienia!$L:$L,"Mall.sk-*",Zamowienia!$D:$D,"1",Zamowienia!$G:$G,$A3,Zamowienia!$O:$O,"Extra")+SUMIFS(Zamowienia!$K:$K,Zamowienia!$M:$M,"Mall.sk",Zamowienia!$D:$D,"1",Zamowienia!$G:$G,$A3))</f>
        <v>0</v>
      </c>
      <c r="E3" s="3">
        <f ca="1">IF($A3/(TODAY()-1)&gt;1,"",SUMIFS(Zamowienia!$K:$K,Zamowienia!$M:$M,"Osobiście/tel.",Zamowienia!$L:$L,"Mimovrste.com-*",Zamowienia!$D:$D,"1",Zamowienia!$G:$G,$A3,Zamowienia!$O:$O,"Extra")+SUMIFS(Zamowienia!$K:$K,Zamowienia!$M:$M,"Mimovrste.com",Zamowienia!$D:$D,"1",Zamowienia!$G:$G,$A3))</f>
        <v>0</v>
      </c>
      <c r="F3" s="3">
        <f ca="1">IF($A3/(TODAY()-1)&gt;1,"",SUMIFS(Zamowienia!$K:$K,Zamowienia!$H:$H,"Mall Extrastore HU",Zamowienia!$D:$D,"1",Zamowienia!$G:$G,A3))</f>
        <v>0</v>
      </c>
      <c r="G3" s="3">
        <f t="shared" ref="G3:G31" ca="1" si="0">IF($A3/(TODAY()-1)&gt;1,"",SUM(C3:F3))</f>
        <v>0</v>
      </c>
      <c r="H3" s="3"/>
      <c r="I3" t="s">
        <v>7</v>
      </c>
      <c r="J3" s="6">
        <v>220000</v>
      </c>
      <c r="K3" s="6">
        <f ca="1">SUM(G2:G31)</f>
        <v>0</v>
      </c>
      <c r="L3" s="7">
        <f ca="1">K3/J3</f>
        <v>0</v>
      </c>
      <c r="M3" s="8">
        <v>52151.955605243449</v>
      </c>
      <c r="N3" s="8">
        <f>M3/Roboczy!$B$2</f>
        <v>1738.3985201747817</v>
      </c>
    </row>
    <row r="4" spans="1:14" ht="18.75" x14ac:dyDescent="0.25">
      <c r="A4" s="2">
        <v>45080</v>
      </c>
      <c r="B4" s="9" t="s">
        <v>8</v>
      </c>
      <c r="C4" s="3">
        <f ca="1">IF($A4/(TODAY()-1)&gt;1,"",SUMIFS(Zamowienia!$K:$K,Zamowienia!$M:$M,"Osobiście/tel.",Zamowienia!$L:$L,"Mall.cz-*",Zamowienia!$D:$D,"1",Zamowienia!$G:$G,$A4,Zamowienia!$O:$O,"Extra")+SUMIFS(Zamowienia!$K:$K,Zamowienia!$M:$M,"Mall.cz",Zamowienia!$D:$D,"1",Zamowienia!$G:$G,$A4))</f>
        <v>0</v>
      </c>
      <c r="D4" s="3">
        <f ca="1">IF($A4/(TODAY()-1)&gt;1,"",SUMIFS(Zamowienia!$K:$K,Zamowienia!$M:$M,"Osobiście/tel.",Zamowienia!$L:$L,"Mall.sk-*",Zamowienia!$D:$D,"1",Zamowienia!$G:$G,$A4,Zamowienia!$O:$O,"Extra")+SUMIFS(Zamowienia!$K:$K,Zamowienia!$M:$M,"Mall.sk",Zamowienia!$D:$D,"1",Zamowienia!$G:$G,$A4))</f>
        <v>0</v>
      </c>
      <c r="E4" s="3">
        <f ca="1">IF($A4/(TODAY()-1)&gt;1,"",SUMIFS(Zamowienia!$K:$K,Zamowienia!$M:$M,"Osobiście/tel.",Zamowienia!$L:$L,"Mimovrste.com-*",Zamowienia!$D:$D,"1",Zamowienia!$G:$G,$A4,Zamowienia!$O:$O,"Extra")+SUMIFS(Zamowienia!$K:$K,Zamowienia!$M:$M,"Mimovrste.com",Zamowienia!$D:$D,"1",Zamowienia!$G:$G,$A4))</f>
        <v>0</v>
      </c>
      <c r="F4" s="3">
        <f ca="1">IF($A4/(TODAY()-1)&gt;1,"",SUMIFS(Zamowienia!$K:$K,Zamowienia!$H:$H,"Mall Extrastore HU",Zamowienia!$D:$D,"1",Zamowienia!$G:$G,A4))</f>
        <v>0</v>
      </c>
      <c r="G4" s="3">
        <f t="shared" ca="1" si="0"/>
        <v>0</v>
      </c>
      <c r="H4" s="3"/>
      <c r="I4" t="s">
        <v>9</v>
      </c>
      <c r="J4" s="6">
        <f>ROUND(J3/Roboczy!$B$1,2)</f>
        <v>7096.77</v>
      </c>
      <c r="K4" s="3">
        <f ca="1">AVERAGE(G2:G31)</f>
        <v>0</v>
      </c>
      <c r="L4" s="7">
        <f ca="1">K4/J4</f>
        <v>0</v>
      </c>
      <c r="M4" s="8">
        <f ca="1">K3-M3</f>
        <v>-52151.955605243449</v>
      </c>
      <c r="N4" s="7">
        <f ca="1">K4/N3-1</f>
        <v>-1</v>
      </c>
    </row>
    <row r="5" spans="1:14" ht="18.75" x14ac:dyDescent="0.25">
      <c r="A5" s="2">
        <v>45081</v>
      </c>
      <c r="B5" s="9" t="s">
        <v>10</v>
      </c>
      <c r="C5" s="3">
        <f ca="1">IF($A5/(TODAY()-1)&gt;1,"",SUMIFS(Zamowienia!$K:$K,Zamowienia!$M:$M,"Osobiście/tel.",Zamowienia!$L:$L,"Mall.cz-*",Zamowienia!$D:$D,"1",Zamowienia!$G:$G,$A5,Zamowienia!$O:$O,"Extra")+SUMIFS(Zamowienia!$K:$K,Zamowienia!$M:$M,"Mall.cz",Zamowienia!$D:$D,"1",Zamowienia!$G:$G,$A5))</f>
        <v>0</v>
      </c>
      <c r="D5" s="3">
        <f ca="1">IF($A5/(TODAY()-1)&gt;1,"",SUMIFS(Zamowienia!$K:$K,Zamowienia!$M:$M,"Osobiście/tel.",Zamowienia!$L:$L,"Mall.sk-*",Zamowienia!$D:$D,"1",Zamowienia!$G:$G,$A5,Zamowienia!$O:$O,"Extra")+SUMIFS(Zamowienia!$K:$K,Zamowienia!$M:$M,"Mall.sk",Zamowienia!$D:$D,"1",Zamowienia!$G:$G,$A5))</f>
        <v>0</v>
      </c>
      <c r="E5" s="3">
        <f ca="1">IF($A5/(TODAY()-1)&gt;1,"",SUMIFS(Zamowienia!$K:$K,Zamowienia!$M:$M,"Osobiście/tel.",Zamowienia!$L:$L,"Mimovrste.com-*",Zamowienia!$D:$D,"1",Zamowienia!$G:$G,$A5,Zamowienia!$O:$O,"Extra")+SUMIFS(Zamowienia!$K:$K,Zamowienia!$M:$M,"Mimovrste.com",Zamowienia!$D:$D,"1",Zamowienia!$G:$G,$A5))</f>
        <v>0</v>
      </c>
      <c r="F5" s="3">
        <f ca="1">IF($A5/(TODAY()-1)&gt;1,"",SUMIFS(Zamowienia!$K:$K,Zamowienia!$H:$H,"Mall Extrastore HU",Zamowienia!$D:$D,"1",Zamowienia!$G:$G,A5))</f>
        <v>0</v>
      </c>
      <c r="G5" s="3">
        <f t="shared" ca="1" si="0"/>
        <v>0</v>
      </c>
      <c r="H5" s="3"/>
    </row>
    <row r="6" spans="1:14" ht="18.75" x14ac:dyDescent="0.25">
      <c r="A6" s="2">
        <v>45082</v>
      </c>
      <c r="B6" s="10" t="s">
        <v>6</v>
      </c>
      <c r="C6" s="3">
        <f ca="1">IF($A6/(TODAY()-1)&gt;1,"",SUMIFS(Zamowienia!$K:$K,Zamowienia!$M:$M,"Osobiście/tel.",Zamowienia!$L:$L,"Mall.cz-*",Zamowienia!$D:$D,"1",Zamowienia!$G:$G,$A6,Zamowienia!$O:$O,"Extra")+SUMIFS(Zamowienia!$K:$K,Zamowienia!$M:$M,"Mall.cz",Zamowienia!$D:$D,"1",Zamowienia!$G:$G,$A6))</f>
        <v>0</v>
      </c>
      <c r="D6" s="3">
        <f ca="1">IF($A6/(TODAY()-1)&gt;1,"",SUMIFS(Zamowienia!$K:$K,Zamowienia!$M:$M,"Osobiście/tel.",Zamowienia!$L:$L,"Mall.sk-*",Zamowienia!$D:$D,"1",Zamowienia!$G:$G,$A6,Zamowienia!$O:$O,"Extra")+SUMIFS(Zamowienia!$K:$K,Zamowienia!$M:$M,"Mall.sk",Zamowienia!$D:$D,"1",Zamowienia!$G:$G,$A6))</f>
        <v>0</v>
      </c>
      <c r="E6" s="3">
        <f ca="1">IF($A6/(TODAY()-1)&gt;1,"",SUMIFS(Zamowienia!$K:$K,Zamowienia!$M:$M,"Osobiście/tel.",Zamowienia!$L:$L,"Mimovrste.com-*",Zamowienia!$D:$D,"1",Zamowienia!$G:$G,$A6,Zamowienia!$O:$O,"Extra")+SUMIFS(Zamowienia!$K:$K,Zamowienia!$M:$M,"Mimovrste.com",Zamowienia!$D:$D,"1",Zamowienia!$G:$G,$A6))</f>
        <v>0</v>
      </c>
      <c r="F6" s="3">
        <f ca="1">IF($A6/(TODAY()-1)&gt;1,"",SUMIFS(Zamowienia!$K:$K,Zamowienia!$H:$H,"Mall Extrastore HU",Zamowienia!$D:$D,"1",Zamowienia!$G:$G,A6))</f>
        <v>0</v>
      </c>
      <c r="G6" s="3">
        <f t="shared" ca="1" si="0"/>
        <v>0</v>
      </c>
      <c r="H6" s="3"/>
    </row>
    <row r="7" spans="1:14" ht="18.75" x14ac:dyDescent="0.25">
      <c r="A7" s="2">
        <v>45083</v>
      </c>
      <c r="B7" s="4" t="s">
        <v>11</v>
      </c>
      <c r="C7" s="3">
        <f ca="1">IF($A7/(TODAY()-1)&gt;1,"",SUMIFS(Zamowienia!$K:$K,Zamowienia!$M:$M,"Osobiście/tel.",Zamowienia!$L:$L,"Mall.cz-*",Zamowienia!$D:$D,"1",Zamowienia!$G:$G,$A7,Zamowienia!$O:$O,"Extra")+SUMIFS(Zamowienia!$K:$K,Zamowienia!$M:$M,"Mall.cz",Zamowienia!$D:$D,"1",Zamowienia!$G:$G,$A7))</f>
        <v>0</v>
      </c>
      <c r="D7" s="3">
        <f ca="1">IF($A7/(TODAY()-1)&gt;1,"",SUMIFS(Zamowienia!$K:$K,Zamowienia!$M:$M,"Osobiście/tel.",Zamowienia!$L:$L,"Mall.sk-*",Zamowienia!$D:$D,"1",Zamowienia!$G:$G,$A7,Zamowienia!$O:$O,"Extra")+SUMIFS(Zamowienia!$K:$K,Zamowienia!$M:$M,"Mall.sk",Zamowienia!$D:$D,"1",Zamowienia!$G:$G,$A7))</f>
        <v>0</v>
      </c>
      <c r="E7" s="3">
        <f ca="1">IF($A7/(TODAY()-1)&gt;1,"",SUMIFS(Zamowienia!$K:$K,Zamowienia!$M:$M,"Osobiście/tel.",Zamowienia!$L:$L,"Mimovrste.com-*",Zamowienia!$D:$D,"1",Zamowienia!$G:$G,$A7,Zamowienia!$O:$O,"Extra")+SUMIFS(Zamowienia!$K:$K,Zamowienia!$M:$M,"Mimovrste.com",Zamowienia!$D:$D,"1",Zamowienia!$G:$G,$A7))</f>
        <v>0</v>
      </c>
      <c r="F7" s="3">
        <f ca="1">IF($A7/(TODAY()-1)&gt;1,"",SUMIFS(Zamowienia!$K:$K,Zamowienia!$H:$H,"Mall Extrastore HU",Zamowienia!$D:$D,"1",Zamowienia!$G:$G,A7))</f>
        <v>0</v>
      </c>
      <c r="G7" s="3">
        <f t="shared" ca="1" si="0"/>
        <v>0</v>
      </c>
      <c r="H7" s="3"/>
    </row>
    <row r="8" spans="1:14" ht="18.75" x14ac:dyDescent="0.25">
      <c r="A8" s="2">
        <v>45084</v>
      </c>
      <c r="B8" s="4" t="s">
        <v>13</v>
      </c>
      <c r="C8" s="3">
        <f ca="1">IF($A8/(TODAY()-1)&gt;1,"",SUMIFS(Zamowienia!$K:$K,Zamowienia!$M:$M,"Osobiście/tel.",Zamowienia!$L:$L,"Mall.cz-*",Zamowienia!$D:$D,"1",Zamowienia!$G:$G,$A8,Zamowienia!$O:$O,"Extra")+SUMIFS(Zamowienia!$K:$K,Zamowienia!$M:$M,"Mall.cz",Zamowienia!$D:$D,"1",Zamowienia!$G:$G,$A8))</f>
        <v>0</v>
      </c>
      <c r="D8" s="3">
        <f ca="1">IF($A8/(TODAY()-1)&gt;1,"",SUMIFS(Zamowienia!$K:$K,Zamowienia!$M:$M,"Osobiście/tel.",Zamowienia!$L:$L,"Mall.sk-*",Zamowienia!$D:$D,"1",Zamowienia!$G:$G,$A8,Zamowienia!$O:$O,"Extra")+SUMIFS(Zamowienia!$K:$K,Zamowienia!$M:$M,"Mall.sk",Zamowienia!$D:$D,"1",Zamowienia!$G:$G,$A8))</f>
        <v>0</v>
      </c>
      <c r="E8" s="3">
        <f ca="1">IF($A8/(TODAY()-1)&gt;1,"",SUMIFS(Zamowienia!$K:$K,Zamowienia!$M:$M,"Osobiście/tel.",Zamowienia!$L:$L,"Mimovrste.com-*",Zamowienia!$D:$D,"1",Zamowienia!$G:$G,$A8,Zamowienia!$O:$O,"Extra")+SUMIFS(Zamowienia!$K:$K,Zamowienia!$M:$M,"Mimovrste.com",Zamowienia!$D:$D,"1",Zamowienia!$G:$G,$A8))</f>
        <v>0</v>
      </c>
      <c r="F8" s="3">
        <f ca="1">IF($A8/(TODAY()-1)&gt;1,"",SUMIFS(Zamowienia!$K:$K,Zamowienia!$H:$H,"Mall Extrastore HU",Zamowienia!$D:$D,"1",Zamowienia!$G:$G,A8))</f>
        <v>0</v>
      </c>
      <c r="G8" s="3">
        <f t="shared" ca="1" si="0"/>
        <v>0</v>
      </c>
      <c r="H8" s="3"/>
    </row>
    <row r="9" spans="1:14" ht="18.75" x14ac:dyDescent="0.25">
      <c r="A9" s="2">
        <v>45085</v>
      </c>
      <c r="B9" s="4" t="s">
        <v>3</v>
      </c>
      <c r="C9" s="3">
        <f ca="1">IF($A9/(TODAY()-1)&gt;1,"",SUMIFS(Zamowienia!$K:$K,Zamowienia!$M:$M,"Osobiście/tel.",Zamowienia!$L:$L,"Mall.cz-*",Zamowienia!$D:$D,"1",Zamowienia!$G:$G,$A9,Zamowienia!$O:$O,"Extra")+SUMIFS(Zamowienia!$K:$K,Zamowienia!$M:$M,"Mall.cz",Zamowienia!$D:$D,"1",Zamowienia!$G:$G,$A9))</f>
        <v>0</v>
      </c>
      <c r="D9" s="3">
        <f ca="1">IF($A9/(TODAY()-1)&gt;1,"",SUMIFS(Zamowienia!$K:$K,Zamowienia!$M:$M,"Osobiście/tel.",Zamowienia!$L:$L,"Mall.sk-*",Zamowienia!$D:$D,"1",Zamowienia!$G:$G,$A9,Zamowienia!$O:$O,"Extra")+SUMIFS(Zamowienia!$K:$K,Zamowienia!$M:$M,"Mall.sk",Zamowienia!$D:$D,"1",Zamowienia!$G:$G,$A9))</f>
        <v>0</v>
      </c>
      <c r="E9" s="3">
        <f ca="1">IF($A9/(TODAY()-1)&gt;1,"",SUMIFS(Zamowienia!$K:$K,Zamowienia!$M:$M,"Osobiście/tel.",Zamowienia!$L:$L,"Mimovrste.com-*",Zamowienia!$D:$D,"1",Zamowienia!$G:$G,$A9,Zamowienia!$O:$O,"Extra")+SUMIFS(Zamowienia!$K:$K,Zamowienia!$M:$M,"Mimovrste.com",Zamowienia!$D:$D,"1",Zamowienia!$G:$G,$A9))</f>
        <v>0</v>
      </c>
      <c r="F9" s="3">
        <f ca="1">IF($A9/(TODAY()-1)&gt;1,"",SUMIFS(Zamowienia!$K:$K,Zamowienia!$H:$H,"Mall Extrastore HU",Zamowienia!$D:$D,"1",Zamowienia!$G:$G,A9))</f>
        <v>0</v>
      </c>
      <c r="G9" s="3">
        <f t="shared" ca="1" si="0"/>
        <v>0</v>
      </c>
      <c r="H9" s="3"/>
    </row>
    <row r="10" spans="1:14" ht="18.75" x14ac:dyDescent="0.25">
      <c r="A10" s="2">
        <v>45086</v>
      </c>
      <c r="B10" s="4" t="s">
        <v>6</v>
      </c>
      <c r="C10" s="3">
        <f ca="1">IF($A10/(TODAY()-1)&gt;1,"",SUMIFS(Zamowienia!$K:$K,Zamowienia!$M:$M,"Osobiście/tel.",Zamowienia!$L:$L,"Mall.cz-*",Zamowienia!$D:$D,"1",Zamowienia!$G:$G,$A10,Zamowienia!$O:$O,"Extra")+SUMIFS(Zamowienia!$K:$K,Zamowienia!$M:$M,"Mall.cz",Zamowienia!$D:$D,"1",Zamowienia!$G:$G,$A10))</f>
        <v>0</v>
      </c>
      <c r="D10" s="3">
        <f ca="1">IF($A10/(TODAY()-1)&gt;1,"",SUMIFS(Zamowienia!$K:$K,Zamowienia!$M:$M,"Osobiście/tel.",Zamowienia!$L:$L,"Mall.sk-*",Zamowienia!$D:$D,"1",Zamowienia!$G:$G,$A10,Zamowienia!$O:$O,"Extra")+SUMIFS(Zamowienia!$K:$K,Zamowienia!$M:$M,"Mall.sk",Zamowienia!$D:$D,"1",Zamowienia!$G:$G,$A10))</f>
        <v>0</v>
      </c>
      <c r="E10" s="3">
        <f ca="1">IF($A10/(TODAY()-1)&gt;1,"",SUMIFS(Zamowienia!$K:$K,Zamowienia!$M:$M,"Osobiście/tel.",Zamowienia!$L:$L,"Mimovrste.com-*",Zamowienia!$D:$D,"1",Zamowienia!$G:$G,$A10,Zamowienia!$O:$O,"Extra")+SUMIFS(Zamowienia!$K:$K,Zamowienia!$M:$M,"Mimovrste.com",Zamowienia!$D:$D,"1",Zamowienia!$G:$G,$A10))</f>
        <v>0</v>
      </c>
      <c r="F10" s="3">
        <f ca="1">IF($A10/(TODAY()-1)&gt;1,"",SUMIFS(Zamowienia!$K:$K,Zamowienia!$H:$H,"Mall Extrastore HU",Zamowienia!$D:$D,"1",Zamowienia!$G:$G,A10))</f>
        <v>0</v>
      </c>
      <c r="G10" s="3">
        <f t="shared" ca="1" si="0"/>
        <v>0</v>
      </c>
      <c r="H10" s="3"/>
    </row>
    <row r="11" spans="1:14" ht="18.75" x14ac:dyDescent="0.25">
      <c r="A11" s="2">
        <v>45087</v>
      </c>
      <c r="B11" s="9" t="s">
        <v>8</v>
      </c>
      <c r="C11" s="3">
        <f ca="1">IF($A11/(TODAY()-1)&gt;1,"",SUMIFS(Zamowienia!$K:$K,Zamowienia!$M:$M,"Osobiście/tel.",Zamowienia!$L:$L,"Mall.cz-*",Zamowienia!$D:$D,"1",Zamowienia!$G:$G,$A11,Zamowienia!$O:$O,"Extra")+SUMIFS(Zamowienia!$K:$K,Zamowienia!$M:$M,"Mall.cz",Zamowienia!$D:$D,"1",Zamowienia!$G:$G,$A11))</f>
        <v>0</v>
      </c>
      <c r="D11" s="3">
        <f ca="1">IF($A11/(TODAY()-1)&gt;1,"",SUMIFS(Zamowienia!$K:$K,Zamowienia!$M:$M,"Osobiście/tel.",Zamowienia!$L:$L,"Mall.sk-*",Zamowienia!$D:$D,"1",Zamowienia!$G:$G,$A11,Zamowienia!$O:$O,"Extra")+SUMIFS(Zamowienia!$K:$K,Zamowienia!$M:$M,"Mall.sk",Zamowienia!$D:$D,"1",Zamowienia!$G:$G,$A11))</f>
        <v>0</v>
      </c>
      <c r="E11" s="3">
        <f ca="1">IF($A11/(TODAY()-1)&gt;1,"",SUMIFS(Zamowienia!$K:$K,Zamowienia!$M:$M,"Osobiście/tel.",Zamowienia!$L:$L,"Mimovrste.com-*",Zamowienia!$D:$D,"1",Zamowienia!$G:$G,$A11,Zamowienia!$O:$O,"Extra")+SUMIFS(Zamowienia!$K:$K,Zamowienia!$M:$M,"Mimovrste.com",Zamowienia!$D:$D,"1",Zamowienia!$G:$G,$A11))</f>
        <v>0</v>
      </c>
      <c r="F11" s="3">
        <f ca="1">IF($A11/(TODAY()-1)&gt;1,"",SUMIFS(Zamowienia!$K:$K,Zamowienia!$H:$H,"Mall Extrastore HU",Zamowienia!$D:$D,"1",Zamowienia!$G:$G,A11))</f>
        <v>0</v>
      </c>
      <c r="G11" s="3">
        <f t="shared" ca="1" si="0"/>
        <v>0</v>
      </c>
      <c r="H11" s="3"/>
    </row>
    <row r="12" spans="1:14" ht="18.75" x14ac:dyDescent="0.25">
      <c r="A12" s="2">
        <v>45088</v>
      </c>
      <c r="B12" s="9" t="s">
        <v>10</v>
      </c>
      <c r="C12" s="3">
        <f ca="1">IF($A12/(TODAY()-1)&gt;1,"",SUMIFS(Zamowienia!$K:$K,Zamowienia!$M:$M,"Osobiście/tel.",Zamowienia!$L:$L,"Mall.cz-*",Zamowienia!$D:$D,"1",Zamowienia!$G:$G,$A12,Zamowienia!$O:$O,"Extra")+SUMIFS(Zamowienia!$K:$K,Zamowienia!$M:$M,"Mall.cz",Zamowienia!$D:$D,"1",Zamowienia!$G:$G,$A12))</f>
        <v>0</v>
      </c>
      <c r="D12" s="3">
        <f ca="1">IF($A12/(TODAY()-1)&gt;1,"",SUMIFS(Zamowienia!$K:$K,Zamowienia!$M:$M,"Osobiście/tel.",Zamowienia!$L:$L,"Mall.sk-*",Zamowienia!$D:$D,"1",Zamowienia!$G:$G,$A12,Zamowienia!$O:$O,"Extra")+SUMIFS(Zamowienia!$K:$K,Zamowienia!$M:$M,"Mall.sk",Zamowienia!$D:$D,"1",Zamowienia!$G:$G,$A12))</f>
        <v>0</v>
      </c>
      <c r="E12" s="3">
        <f ca="1">IF($A12/(TODAY()-1)&gt;1,"",SUMIFS(Zamowienia!$K:$K,Zamowienia!$M:$M,"Osobiście/tel.",Zamowienia!$L:$L,"Mimovrste.com-*",Zamowienia!$D:$D,"1",Zamowienia!$G:$G,$A12,Zamowienia!$O:$O,"Extra")+SUMIFS(Zamowienia!$K:$K,Zamowienia!$M:$M,"Mimovrste.com",Zamowienia!$D:$D,"1",Zamowienia!$G:$G,$A12))</f>
        <v>0</v>
      </c>
      <c r="F12" s="3">
        <f ca="1">IF($A12/(TODAY()-1)&gt;1,"",SUMIFS(Zamowienia!$K:$K,Zamowienia!$H:$H,"Mall Extrastore HU",Zamowienia!$D:$D,"1",Zamowienia!$G:$G,A12))</f>
        <v>0</v>
      </c>
      <c r="G12" s="3">
        <f t="shared" ca="1" si="0"/>
        <v>0</v>
      </c>
      <c r="H12" s="3"/>
    </row>
    <row r="13" spans="1:14" ht="18.75" x14ac:dyDescent="0.25">
      <c r="A13" s="2">
        <v>45089</v>
      </c>
      <c r="B13" s="10" t="s">
        <v>6</v>
      </c>
      <c r="C13" s="3">
        <f ca="1">IF($A13/(TODAY()-1)&gt;1,"",SUMIFS(Zamowienia!$K:$K,Zamowienia!$M:$M,"Osobiście/tel.",Zamowienia!$L:$L,"Mall.cz-*",Zamowienia!$D:$D,"1",Zamowienia!$G:$G,$A13,Zamowienia!$O:$O,"Extra")+SUMIFS(Zamowienia!$K:$K,Zamowienia!$M:$M,"Mall.cz",Zamowienia!$D:$D,"1",Zamowienia!$G:$G,$A13))</f>
        <v>0</v>
      </c>
      <c r="D13" s="3">
        <f ca="1">IF($A13/(TODAY()-1)&gt;1,"",SUMIFS(Zamowienia!$K:$K,Zamowienia!$M:$M,"Osobiście/tel.",Zamowienia!$L:$L,"Mall.sk-*",Zamowienia!$D:$D,"1",Zamowienia!$G:$G,$A13,Zamowienia!$O:$O,"Extra")+SUMIFS(Zamowienia!$K:$K,Zamowienia!$M:$M,"Mall.sk",Zamowienia!$D:$D,"1",Zamowienia!$G:$G,$A13))</f>
        <v>0</v>
      </c>
      <c r="E13" s="3">
        <f ca="1">IF($A13/(TODAY()-1)&gt;1,"",SUMIFS(Zamowienia!$K:$K,Zamowienia!$M:$M,"Osobiście/tel.",Zamowienia!$L:$L,"Mimovrste.com-*",Zamowienia!$D:$D,"1",Zamowienia!$G:$G,$A13,Zamowienia!$O:$O,"Extra")+SUMIFS(Zamowienia!$K:$K,Zamowienia!$M:$M,"Mimovrste.com",Zamowienia!$D:$D,"1",Zamowienia!$G:$G,$A13))</f>
        <v>0</v>
      </c>
      <c r="F13" s="3">
        <f ca="1">IF($A13/(TODAY()-1)&gt;1,"",SUMIFS(Zamowienia!$K:$K,Zamowienia!$H:$H,"Mall Extrastore HU",Zamowienia!$D:$D,"1",Zamowienia!$G:$G,A13))</f>
        <v>0</v>
      </c>
      <c r="G13" s="3">
        <f t="shared" ca="1" si="0"/>
        <v>0</v>
      </c>
      <c r="H13" s="3"/>
    </row>
    <row r="14" spans="1:14" ht="18.75" x14ac:dyDescent="0.25">
      <c r="A14" s="2">
        <v>45090</v>
      </c>
      <c r="B14" s="4" t="s">
        <v>11</v>
      </c>
      <c r="C14" s="3">
        <f ca="1">IF($A14/(TODAY()-1)&gt;1,"",SUMIFS(Zamowienia!$K:$K,Zamowienia!$M:$M,"Osobiście/tel.",Zamowienia!$L:$L,"Mall.cz-*",Zamowienia!$D:$D,"1",Zamowienia!$G:$G,$A14,Zamowienia!$O:$O,"Extra")+SUMIFS(Zamowienia!$K:$K,Zamowienia!$M:$M,"Mall.cz",Zamowienia!$D:$D,"1",Zamowienia!$G:$G,$A14))</f>
        <v>0</v>
      </c>
      <c r="D14" s="3">
        <f ca="1">IF($A14/(TODAY()-1)&gt;1,"",SUMIFS(Zamowienia!$K:$K,Zamowienia!$M:$M,"Osobiście/tel.",Zamowienia!$L:$L,"Mall.sk-*",Zamowienia!$D:$D,"1",Zamowienia!$G:$G,$A14,Zamowienia!$O:$O,"Extra")+SUMIFS(Zamowienia!$K:$K,Zamowienia!$M:$M,"Mall.sk",Zamowienia!$D:$D,"1",Zamowienia!$G:$G,$A14))</f>
        <v>0</v>
      </c>
      <c r="E14" s="3">
        <f ca="1">IF($A14/(TODAY()-1)&gt;1,"",SUMIFS(Zamowienia!$K:$K,Zamowienia!$M:$M,"Osobiście/tel.",Zamowienia!$L:$L,"Mimovrste.com-*",Zamowienia!$D:$D,"1",Zamowienia!$G:$G,$A14,Zamowienia!$O:$O,"Extra")+SUMIFS(Zamowienia!$K:$K,Zamowienia!$M:$M,"Mimovrste.com",Zamowienia!$D:$D,"1",Zamowienia!$G:$G,$A14))</f>
        <v>0</v>
      </c>
      <c r="F14" s="3">
        <f ca="1">IF($A14/(TODAY()-1)&gt;1,"",SUMIFS(Zamowienia!$K:$K,Zamowienia!$H:$H,"Mall Extrastore HU",Zamowienia!$D:$D,"1",Zamowienia!$G:$G,A14))</f>
        <v>0</v>
      </c>
      <c r="G14" s="3">
        <f t="shared" ca="1" si="0"/>
        <v>0</v>
      </c>
      <c r="H14" s="3"/>
    </row>
    <row r="15" spans="1:14" ht="18.75" x14ac:dyDescent="0.25">
      <c r="A15" s="2">
        <v>45091</v>
      </c>
      <c r="B15" s="4" t="s">
        <v>13</v>
      </c>
      <c r="C15" s="3">
        <f ca="1">IF($A15/(TODAY()-1)&gt;1,"",SUMIFS(Zamowienia!$K:$K,Zamowienia!$M:$M,"Osobiście/tel.",Zamowienia!$L:$L,"Mall.cz-*",Zamowienia!$D:$D,"1",Zamowienia!$G:$G,$A15,Zamowienia!$O:$O,"Extra")+SUMIFS(Zamowienia!$K:$K,Zamowienia!$M:$M,"Mall.cz",Zamowienia!$D:$D,"1",Zamowienia!$G:$G,$A15))</f>
        <v>0</v>
      </c>
      <c r="D15" s="3">
        <f ca="1">IF($A15/(TODAY()-1)&gt;1,"",SUMIFS(Zamowienia!$K:$K,Zamowienia!$M:$M,"Osobiście/tel.",Zamowienia!$L:$L,"Mall.sk-*",Zamowienia!$D:$D,"1",Zamowienia!$G:$G,$A15,Zamowienia!$O:$O,"Extra")+SUMIFS(Zamowienia!$K:$K,Zamowienia!$M:$M,"Mall.sk",Zamowienia!$D:$D,"1",Zamowienia!$G:$G,$A15))</f>
        <v>0</v>
      </c>
      <c r="E15" s="3">
        <f ca="1">IF($A15/(TODAY()-1)&gt;1,"",SUMIFS(Zamowienia!$K:$K,Zamowienia!$M:$M,"Osobiście/tel.",Zamowienia!$L:$L,"Mimovrste.com-*",Zamowienia!$D:$D,"1",Zamowienia!$G:$G,$A15,Zamowienia!$O:$O,"Extra")+SUMIFS(Zamowienia!$K:$K,Zamowienia!$M:$M,"Mimovrste.com",Zamowienia!$D:$D,"1",Zamowienia!$G:$G,$A15))</f>
        <v>0</v>
      </c>
      <c r="F15" s="3">
        <f ca="1">IF($A15/(TODAY()-1)&gt;1,"",SUMIFS(Zamowienia!$K:$K,Zamowienia!$H:$H,"Mall Extrastore HU",Zamowienia!$D:$D,"1",Zamowienia!$G:$G,A15))</f>
        <v>0</v>
      </c>
      <c r="G15" s="3">
        <f t="shared" ca="1" si="0"/>
        <v>0</v>
      </c>
      <c r="H15" s="3"/>
    </row>
    <row r="16" spans="1:14" ht="18.75" x14ac:dyDescent="0.25">
      <c r="A16" s="2">
        <v>45092</v>
      </c>
      <c r="B16" s="4" t="s">
        <v>3</v>
      </c>
      <c r="C16" s="3">
        <f ca="1">IF($A16/(TODAY()-1)&gt;1,"",SUMIFS(Zamowienia!$K:$K,Zamowienia!$M:$M,"Osobiście/tel.",Zamowienia!$L:$L,"Mall.cz-*",Zamowienia!$D:$D,"1",Zamowienia!$G:$G,$A16,Zamowienia!$O:$O,"Extra")+SUMIFS(Zamowienia!$K:$K,Zamowienia!$M:$M,"Mall.cz",Zamowienia!$D:$D,"1",Zamowienia!$G:$G,$A16))</f>
        <v>0</v>
      </c>
      <c r="D16" s="3">
        <f ca="1">IF($A16/(TODAY()-1)&gt;1,"",SUMIFS(Zamowienia!$K:$K,Zamowienia!$M:$M,"Osobiście/tel.",Zamowienia!$L:$L,"Mall.sk-*",Zamowienia!$D:$D,"1",Zamowienia!$G:$G,$A16,Zamowienia!$O:$O,"Extra")+SUMIFS(Zamowienia!$K:$K,Zamowienia!$M:$M,"Mall.sk",Zamowienia!$D:$D,"1",Zamowienia!$G:$G,$A16))</f>
        <v>0</v>
      </c>
      <c r="E16" s="3">
        <f ca="1">IF($A16/(TODAY()-1)&gt;1,"",SUMIFS(Zamowienia!$K:$K,Zamowienia!$M:$M,"Osobiście/tel.",Zamowienia!$L:$L,"Mimovrste.com-*",Zamowienia!$D:$D,"1",Zamowienia!$G:$G,$A16,Zamowienia!$O:$O,"Extra")+SUMIFS(Zamowienia!$K:$K,Zamowienia!$M:$M,"Mimovrste.com",Zamowienia!$D:$D,"1",Zamowienia!$G:$G,$A16))</f>
        <v>0</v>
      </c>
      <c r="F16" s="3">
        <f ca="1">IF($A16/(TODAY()-1)&gt;1,"",SUMIFS(Zamowienia!$K:$K,Zamowienia!$H:$H,"Mall Extrastore HU",Zamowienia!$D:$D,"1",Zamowienia!$G:$G,A16))</f>
        <v>0</v>
      </c>
      <c r="G16" s="3">
        <f t="shared" ca="1" si="0"/>
        <v>0</v>
      </c>
      <c r="H16" s="3"/>
    </row>
    <row r="17" spans="1:8" ht="18.75" x14ac:dyDescent="0.25">
      <c r="A17" s="2">
        <v>45093</v>
      </c>
      <c r="B17" s="4" t="s">
        <v>6</v>
      </c>
      <c r="C17" s="3">
        <f ca="1">IF($A17/(TODAY()-1)&gt;1,"",SUMIFS(Zamowienia!$K:$K,Zamowienia!$M:$M,"Osobiście/tel.",Zamowienia!$L:$L,"Mall.cz-*",Zamowienia!$D:$D,"1",Zamowienia!$G:$G,$A17,Zamowienia!$O:$O,"Extra")+SUMIFS(Zamowienia!$K:$K,Zamowienia!$M:$M,"Mall.cz",Zamowienia!$D:$D,"1",Zamowienia!$G:$G,$A17))</f>
        <v>0</v>
      </c>
      <c r="D17" s="3">
        <f ca="1">IF($A17/(TODAY()-1)&gt;1,"",SUMIFS(Zamowienia!$K:$K,Zamowienia!$M:$M,"Osobiście/tel.",Zamowienia!$L:$L,"Mall.sk-*",Zamowienia!$D:$D,"1",Zamowienia!$G:$G,$A17,Zamowienia!$O:$O,"Extra")+SUMIFS(Zamowienia!$K:$K,Zamowienia!$M:$M,"Mall.sk",Zamowienia!$D:$D,"1",Zamowienia!$G:$G,$A17))</f>
        <v>0</v>
      </c>
      <c r="E17" s="3">
        <f ca="1">IF($A17/(TODAY()-1)&gt;1,"",SUMIFS(Zamowienia!$K:$K,Zamowienia!$M:$M,"Osobiście/tel.",Zamowienia!$L:$L,"Mimovrste.com-*",Zamowienia!$D:$D,"1",Zamowienia!$G:$G,$A17,Zamowienia!$O:$O,"Extra")+SUMIFS(Zamowienia!$K:$K,Zamowienia!$M:$M,"Mimovrste.com",Zamowienia!$D:$D,"1",Zamowienia!$G:$G,$A17))</f>
        <v>0</v>
      </c>
      <c r="F17" s="3">
        <f ca="1">IF($A17/(TODAY()-1)&gt;1,"",SUMIFS(Zamowienia!$K:$K,Zamowienia!$H:$H,"Mall Extrastore HU",Zamowienia!$D:$D,"1",Zamowienia!$G:$G,A17))</f>
        <v>0</v>
      </c>
      <c r="G17" s="3">
        <f t="shared" ca="1" si="0"/>
        <v>0</v>
      </c>
      <c r="H17" s="3"/>
    </row>
    <row r="18" spans="1:8" ht="18.75" x14ac:dyDescent="0.25">
      <c r="A18" s="2">
        <v>45094</v>
      </c>
      <c r="B18" s="9" t="s">
        <v>8</v>
      </c>
      <c r="C18" s="3">
        <f ca="1">IF($A18/(TODAY()-1)&gt;1,"",SUMIFS(Zamowienia!$K:$K,Zamowienia!$M:$M,"Osobiście/tel.",Zamowienia!$L:$L,"Mall.cz-*",Zamowienia!$D:$D,"1",Zamowienia!$G:$G,$A18,Zamowienia!$O:$O,"Extra")+SUMIFS(Zamowienia!$K:$K,Zamowienia!$M:$M,"Mall.cz",Zamowienia!$D:$D,"1",Zamowienia!$G:$G,$A18))</f>
        <v>0</v>
      </c>
      <c r="D18" s="3">
        <f ca="1">IF($A18/(TODAY()-1)&gt;1,"",SUMIFS(Zamowienia!$K:$K,Zamowienia!$M:$M,"Osobiście/tel.",Zamowienia!$L:$L,"Mall.sk-*",Zamowienia!$D:$D,"1",Zamowienia!$G:$G,$A18,Zamowienia!$O:$O,"Extra")+SUMIFS(Zamowienia!$K:$K,Zamowienia!$M:$M,"Mall.sk",Zamowienia!$D:$D,"1",Zamowienia!$G:$G,$A18))</f>
        <v>0</v>
      </c>
      <c r="E18" s="3">
        <f ca="1">IF($A18/(TODAY()-1)&gt;1,"",SUMIFS(Zamowienia!$K:$K,Zamowienia!$M:$M,"Osobiście/tel.",Zamowienia!$L:$L,"Mimovrste.com-*",Zamowienia!$D:$D,"1",Zamowienia!$G:$G,$A18,Zamowienia!$O:$O,"Extra")+SUMIFS(Zamowienia!$K:$K,Zamowienia!$M:$M,"Mimovrste.com",Zamowienia!$D:$D,"1",Zamowienia!$G:$G,$A18))</f>
        <v>0</v>
      </c>
      <c r="F18" s="3">
        <f ca="1">IF($A18/(TODAY()-1)&gt;1,"",SUMIFS(Zamowienia!$K:$K,Zamowienia!$H:$H,"Mall Extrastore HU",Zamowienia!$D:$D,"1",Zamowienia!$G:$G,A18))</f>
        <v>0</v>
      </c>
      <c r="G18" s="3">
        <f t="shared" ca="1" si="0"/>
        <v>0</v>
      </c>
      <c r="H18" s="3"/>
    </row>
    <row r="19" spans="1:8" ht="18.75" x14ac:dyDescent="0.25">
      <c r="A19" s="2">
        <v>45095</v>
      </c>
      <c r="B19" s="9" t="s">
        <v>10</v>
      </c>
      <c r="C19" s="3">
        <f ca="1">IF($A19/(TODAY()-1)&gt;1,"",SUMIFS(Zamowienia!$K:$K,Zamowienia!$M:$M,"Osobiście/tel.",Zamowienia!$L:$L,"Mall.cz-*",Zamowienia!$D:$D,"1",Zamowienia!$G:$G,$A19,Zamowienia!$O:$O,"Extra")+SUMIFS(Zamowienia!$K:$K,Zamowienia!$M:$M,"Mall.cz",Zamowienia!$D:$D,"1",Zamowienia!$G:$G,$A19))</f>
        <v>0</v>
      </c>
      <c r="D19" s="3">
        <f ca="1">IF($A19/(TODAY()-1)&gt;1,"",SUMIFS(Zamowienia!$K:$K,Zamowienia!$M:$M,"Osobiście/tel.",Zamowienia!$L:$L,"Mall.sk-*",Zamowienia!$D:$D,"1",Zamowienia!$G:$G,$A19,Zamowienia!$O:$O,"Extra")+SUMIFS(Zamowienia!$K:$K,Zamowienia!$M:$M,"Mall.sk",Zamowienia!$D:$D,"1",Zamowienia!$G:$G,$A19))</f>
        <v>0</v>
      </c>
      <c r="E19" s="3">
        <f ca="1">IF($A19/(TODAY()-1)&gt;1,"",SUMIFS(Zamowienia!$K:$K,Zamowienia!$M:$M,"Osobiście/tel.",Zamowienia!$L:$L,"Mimovrste.com-*",Zamowienia!$D:$D,"1",Zamowienia!$G:$G,$A19,Zamowienia!$O:$O,"Extra")+SUMIFS(Zamowienia!$K:$K,Zamowienia!$M:$M,"Mimovrste.com",Zamowienia!$D:$D,"1",Zamowienia!$G:$G,$A19))</f>
        <v>0</v>
      </c>
      <c r="F19" s="3">
        <f ca="1">IF($A19/(TODAY()-1)&gt;1,"",SUMIFS(Zamowienia!$K:$K,Zamowienia!$H:$H,"Mall Extrastore HU",Zamowienia!$D:$D,"1",Zamowienia!$G:$G,A19))</f>
        <v>0</v>
      </c>
      <c r="G19" s="3">
        <f t="shared" ca="1" si="0"/>
        <v>0</v>
      </c>
      <c r="H19" s="3"/>
    </row>
    <row r="20" spans="1:8" ht="18.75" x14ac:dyDescent="0.25">
      <c r="A20" s="2">
        <v>45096</v>
      </c>
      <c r="B20" s="10" t="s">
        <v>6</v>
      </c>
      <c r="C20" s="3">
        <f ca="1">IF($A20/(TODAY()-1)&gt;1,"",SUMIFS(Zamowienia!$K:$K,Zamowienia!$M:$M,"Osobiście/tel.",Zamowienia!$L:$L,"Mall.cz-*",Zamowienia!$D:$D,"1",Zamowienia!$G:$G,$A20,Zamowienia!$O:$O,"Extra")+SUMIFS(Zamowienia!$K:$K,Zamowienia!$M:$M,"Mall.cz",Zamowienia!$D:$D,"1",Zamowienia!$G:$G,$A20))</f>
        <v>0</v>
      </c>
      <c r="D20" s="3">
        <f ca="1">IF($A20/(TODAY()-1)&gt;1,"",SUMIFS(Zamowienia!$K:$K,Zamowienia!$M:$M,"Osobiście/tel.",Zamowienia!$L:$L,"Mall.sk-*",Zamowienia!$D:$D,"1",Zamowienia!$G:$G,$A20,Zamowienia!$O:$O,"Extra")+SUMIFS(Zamowienia!$K:$K,Zamowienia!$M:$M,"Mall.sk",Zamowienia!$D:$D,"1",Zamowienia!$G:$G,$A20))</f>
        <v>0</v>
      </c>
      <c r="E20" s="3">
        <f ca="1">IF($A20/(TODAY()-1)&gt;1,"",SUMIFS(Zamowienia!$K:$K,Zamowienia!$M:$M,"Osobiście/tel.",Zamowienia!$L:$L,"Mimovrste.com-*",Zamowienia!$D:$D,"1",Zamowienia!$G:$G,$A20,Zamowienia!$O:$O,"Extra")+SUMIFS(Zamowienia!$K:$K,Zamowienia!$M:$M,"Mimovrste.com",Zamowienia!$D:$D,"1",Zamowienia!$G:$G,$A20))</f>
        <v>0</v>
      </c>
      <c r="F20" s="3">
        <f ca="1">IF($A20/(TODAY()-1)&gt;1,"",SUMIFS(Zamowienia!$K:$K,Zamowienia!$H:$H,"Mall Extrastore HU",Zamowienia!$D:$D,"1",Zamowienia!$G:$G,A20))</f>
        <v>0</v>
      </c>
      <c r="G20" s="3">
        <f t="shared" ca="1" si="0"/>
        <v>0</v>
      </c>
      <c r="H20" s="3"/>
    </row>
    <row r="21" spans="1:8" ht="18.75" x14ac:dyDescent="0.25">
      <c r="A21" s="2">
        <v>45097</v>
      </c>
      <c r="B21" s="4" t="s">
        <v>11</v>
      </c>
      <c r="C21" s="3">
        <f ca="1">IF($A21/(TODAY()-1)&gt;1,"",SUMIFS(Zamowienia!$K:$K,Zamowienia!$M:$M,"Osobiście/tel.",Zamowienia!$L:$L,"Mall.cz-*",Zamowienia!$D:$D,"1",Zamowienia!$G:$G,$A21,Zamowienia!$O:$O,"Extra")+SUMIFS(Zamowienia!$K:$K,Zamowienia!$M:$M,"Mall.cz",Zamowienia!$D:$D,"1",Zamowienia!$G:$G,$A21))</f>
        <v>0</v>
      </c>
      <c r="D21" s="3">
        <f ca="1">IF($A21/(TODAY()-1)&gt;1,"",SUMIFS(Zamowienia!$K:$K,Zamowienia!$M:$M,"Osobiście/tel.",Zamowienia!$L:$L,"Mall.sk-*",Zamowienia!$D:$D,"1",Zamowienia!$G:$G,$A21,Zamowienia!$O:$O,"Extra")+SUMIFS(Zamowienia!$K:$K,Zamowienia!$M:$M,"Mall.sk",Zamowienia!$D:$D,"1",Zamowienia!$G:$G,$A21))</f>
        <v>0</v>
      </c>
      <c r="E21" s="3">
        <f ca="1">IF($A21/(TODAY()-1)&gt;1,"",SUMIFS(Zamowienia!$K:$K,Zamowienia!$M:$M,"Osobiście/tel.",Zamowienia!$L:$L,"Mimovrste.com-*",Zamowienia!$D:$D,"1",Zamowienia!$G:$G,$A21,Zamowienia!$O:$O,"Extra")+SUMIFS(Zamowienia!$K:$K,Zamowienia!$M:$M,"Mimovrste.com",Zamowienia!$D:$D,"1",Zamowienia!$G:$G,$A21))</f>
        <v>0</v>
      </c>
      <c r="F21" s="3">
        <f ca="1">IF($A21/(TODAY()-1)&gt;1,"",SUMIFS(Zamowienia!$K:$K,Zamowienia!$H:$H,"Mall Extrastore HU",Zamowienia!$D:$D,"1",Zamowienia!$G:$G,A21))</f>
        <v>0</v>
      </c>
      <c r="G21" s="3">
        <f t="shared" ca="1" si="0"/>
        <v>0</v>
      </c>
      <c r="H21" s="3"/>
    </row>
    <row r="22" spans="1:8" ht="18.75" x14ac:dyDescent="0.25">
      <c r="A22" s="2">
        <v>45098</v>
      </c>
      <c r="B22" s="4" t="s">
        <v>13</v>
      </c>
      <c r="C22" s="3">
        <f ca="1">IF($A22/(TODAY()-1)&gt;1,"",SUMIFS(Zamowienia!$K:$K,Zamowienia!$M:$M,"Osobiście/tel.",Zamowienia!$L:$L,"Mall.cz-*",Zamowienia!$D:$D,"1",Zamowienia!$G:$G,$A22,Zamowienia!$O:$O,"Extra")+SUMIFS(Zamowienia!$K:$K,Zamowienia!$M:$M,"Mall.cz",Zamowienia!$D:$D,"1",Zamowienia!$G:$G,$A22))</f>
        <v>0</v>
      </c>
      <c r="D22" s="3">
        <f ca="1">IF($A22/(TODAY()-1)&gt;1,"",SUMIFS(Zamowienia!$K:$K,Zamowienia!$M:$M,"Osobiście/tel.",Zamowienia!$L:$L,"Mall.sk-*",Zamowienia!$D:$D,"1",Zamowienia!$G:$G,$A22,Zamowienia!$O:$O,"Extra")+SUMIFS(Zamowienia!$K:$K,Zamowienia!$M:$M,"Mall.sk",Zamowienia!$D:$D,"1",Zamowienia!$G:$G,$A22))</f>
        <v>0</v>
      </c>
      <c r="E22" s="3">
        <f ca="1">IF($A22/(TODAY()-1)&gt;1,"",SUMIFS(Zamowienia!$K:$K,Zamowienia!$M:$M,"Osobiście/tel.",Zamowienia!$L:$L,"Mimovrste.com-*",Zamowienia!$D:$D,"1",Zamowienia!$G:$G,$A22,Zamowienia!$O:$O,"Extra")+SUMIFS(Zamowienia!$K:$K,Zamowienia!$M:$M,"Mimovrste.com",Zamowienia!$D:$D,"1",Zamowienia!$G:$G,$A22))</f>
        <v>0</v>
      </c>
      <c r="F22" s="3">
        <f ca="1">IF($A22/(TODAY()-1)&gt;1,"",SUMIFS(Zamowienia!$K:$K,Zamowienia!$H:$H,"Mall Extrastore HU",Zamowienia!$D:$D,"1",Zamowienia!$G:$G,A22))</f>
        <v>0</v>
      </c>
      <c r="G22" s="3">
        <f t="shared" ca="1" si="0"/>
        <v>0</v>
      </c>
      <c r="H22" s="3"/>
    </row>
    <row r="23" spans="1:8" ht="18.75" x14ac:dyDescent="0.25">
      <c r="A23" s="2">
        <v>45099</v>
      </c>
      <c r="B23" s="4" t="s">
        <v>3</v>
      </c>
      <c r="C23" s="3">
        <f ca="1">IF($A23/(TODAY()-1)&gt;1,"",SUMIFS(Zamowienia!$K:$K,Zamowienia!$M:$M,"Osobiście/tel.",Zamowienia!$L:$L,"Mall.cz-*",Zamowienia!$D:$D,"1",Zamowienia!$G:$G,$A23,Zamowienia!$O:$O,"Extra")+SUMIFS(Zamowienia!$K:$K,Zamowienia!$M:$M,"Mall.cz",Zamowienia!$D:$D,"1",Zamowienia!$G:$G,$A23))</f>
        <v>0</v>
      </c>
      <c r="D23" s="3">
        <f ca="1">IF($A23/(TODAY()-1)&gt;1,"",SUMIFS(Zamowienia!$K:$K,Zamowienia!$M:$M,"Osobiście/tel.",Zamowienia!$L:$L,"Mall.sk-*",Zamowienia!$D:$D,"1",Zamowienia!$G:$G,$A23,Zamowienia!$O:$O,"Extra")+SUMIFS(Zamowienia!$K:$K,Zamowienia!$M:$M,"Mall.sk",Zamowienia!$D:$D,"1",Zamowienia!$G:$G,$A23))</f>
        <v>0</v>
      </c>
      <c r="E23" s="3">
        <f ca="1">IF($A23/(TODAY()-1)&gt;1,"",SUMIFS(Zamowienia!$K:$K,Zamowienia!$M:$M,"Osobiście/tel.",Zamowienia!$L:$L,"Mimovrste.com-*",Zamowienia!$D:$D,"1",Zamowienia!$G:$G,$A23,Zamowienia!$O:$O,"Extra")+SUMIFS(Zamowienia!$K:$K,Zamowienia!$M:$M,"Mimovrste.com",Zamowienia!$D:$D,"1",Zamowienia!$G:$G,$A23))</f>
        <v>0</v>
      </c>
      <c r="F23" s="3">
        <f ca="1">IF($A23/(TODAY()-1)&gt;1,"",SUMIFS(Zamowienia!$K:$K,Zamowienia!$H:$H,"Mall Extrastore HU",Zamowienia!$D:$D,"1",Zamowienia!$G:$G,A23))</f>
        <v>0</v>
      </c>
      <c r="G23" s="3">
        <f t="shared" ca="1" si="0"/>
        <v>0</v>
      </c>
      <c r="H23" s="3"/>
    </row>
    <row r="24" spans="1:8" ht="18.75" x14ac:dyDescent="0.25">
      <c r="A24" s="2">
        <v>45100</v>
      </c>
      <c r="B24" s="4" t="s">
        <v>6</v>
      </c>
      <c r="C24" s="3">
        <f ca="1">IF($A24/(TODAY()-1)&gt;1,"",SUMIFS(Zamowienia!$K:$K,Zamowienia!$M:$M,"Osobiście/tel.",Zamowienia!$L:$L,"Mall.cz-*",Zamowienia!$D:$D,"1",Zamowienia!$G:$G,$A24,Zamowienia!$O:$O,"Extra")+SUMIFS(Zamowienia!$K:$K,Zamowienia!$M:$M,"Mall.cz",Zamowienia!$D:$D,"1",Zamowienia!$G:$G,$A24))</f>
        <v>0</v>
      </c>
      <c r="D24" s="3">
        <f ca="1">IF($A24/(TODAY()-1)&gt;1,"",SUMIFS(Zamowienia!$K:$K,Zamowienia!$M:$M,"Osobiście/tel.",Zamowienia!$L:$L,"Mall.sk-*",Zamowienia!$D:$D,"1",Zamowienia!$G:$G,$A24,Zamowienia!$O:$O,"Extra")+SUMIFS(Zamowienia!$K:$K,Zamowienia!$M:$M,"Mall.sk",Zamowienia!$D:$D,"1",Zamowienia!$G:$G,$A24))</f>
        <v>0</v>
      </c>
      <c r="E24" s="3">
        <f ca="1">IF($A24/(TODAY()-1)&gt;1,"",SUMIFS(Zamowienia!$K:$K,Zamowienia!$M:$M,"Osobiście/tel.",Zamowienia!$L:$L,"Mimovrste.com-*",Zamowienia!$D:$D,"1",Zamowienia!$G:$G,$A24,Zamowienia!$O:$O,"Extra")+SUMIFS(Zamowienia!$K:$K,Zamowienia!$M:$M,"Mimovrste.com",Zamowienia!$D:$D,"1",Zamowienia!$G:$G,$A24))</f>
        <v>0</v>
      </c>
      <c r="F24" s="3">
        <f ca="1">IF($A24/(TODAY()-1)&gt;1,"",SUMIFS(Zamowienia!$K:$K,Zamowienia!$H:$H,"Mall Extrastore HU",Zamowienia!$D:$D,"1",Zamowienia!$G:$G,A24))</f>
        <v>0</v>
      </c>
      <c r="G24" s="3">
        <f t="shared" ca="1" si="0"/>
        <v>0</v>
      </c>
      <c r="H24" s="3"/>
    </row>
    <row r="25" spans="1:8" ht="18.75" x14ac:dyDescent="0.25">
      <c r="A25" s="2">
        <v>45101</v>
      </c>
      <c r="B25" s="9" t="s">
        <v>8</v>
      </c>
      <c r="C25" s="3">
        <f ca="1">IF($A25/(TODAY()-1)&gt;1,"",SUMIFS(Zamowienia!$K:$K,Zamowienia!$M:$M,"Osobiście/tel.",Zamowienia!$L:$L,"Mall.cz-*",Zamowienia!$D:$D,"1",Zamowienia!$G:$G,$A25,Zamowienia!$O:$O,"Extra")+SUMIFS(Zamowienia!$K:$K,Zamowienia!$M:$M,"Mall.cz",Zamowienia!$D:$D,"1",Zamowienia!$G:$G,$A25))</f>
        <v>0</v>
      </c>
      <c r="D25" s="3">
        <f ca="1">IF($A25/(TODAY()-1)&gt;1,"",SUMIFS(Zamowienia!$K:$K,Zamowienia!$M:$M,"Osobiście/tel.",Zamowienia!$L:$L,"Mall.sk-*",Zamowienia!$D:$D,"1",Zamowienia!$G:$G,$A25,Zamowienia!$O:$O,"Extra")+SUMIFS(Zamowienia!$K:$K,Zamowienia!$M:$M,"Mall.sk",Zamowienia!$D:$D,"1",Zamowienia!$G:$G,$A25))</f>
        <v>0</v>
      </c>
      <c r="E25" s="3">
        <f ca="1">IF($A25/(TODAY()-1)&gt;1,"",SUMIFS(Zamowienia!$K:$K,Zamowienia!$M:$M,"Osobiście/tel.",Zamowienia!$L:$L,"Mimovrste.com-*",Zamowienia!$D:$D,"1",Zamowienia!$G:$G,$A25,Zamowienia!$O:$O,"Extra")+SUMIFS(Zamowienia!$K:$K,Zamowienia!$M:$M,"Mimovrste.com",Zamowienia!$D:$D,"1",Zamowienia!$G:$G,$A25))</f>
        <v>0</v>
      </c>
      <c r="F25" s="3">
        <f ca="1">IF($A25/(TODAY()-1)&gt;1,"",SUMIFS(Zamowienia!$K:$K,Zamowienia!$H:$H,"Mall Extrastore HU",Zamowienia!$D:$D,"1",Zamowienia!$G:$G,A25))</f>
        <v>0</v>
      </c>
      <c r="G25" s="3">
        <f t="shared" ca="1" si="0"/>
        <v>0</v>
      </c>
      <c r="H25" s="3"/>
    </row>
    <row r="26" spans="1:8" ht="18.75" x14ac:dyDescent="0.25">
      <c r="A26" s="2">
        <v>45102</v>
      </c>
      <c r="B26" s="9" t="s">
        <v>10</v>
      </c>
      <c r="C26" s="3">
        <f ca="1">IF($A26/(TODAY()-1)&gt;1,"",SUMIFS(Zamowienia!$K:$K,Zamowienia!$M:$M,"Osobiście/tel.",Zamowienia!$L:$L,"Mall.cz-*",Zamowienia!$D:$D,"1",Zamowienia!$G:$G,$A26,Zamowienia!$O:$O,"Extra")+SUMIFS(Zamowienia!$K:$K,Zamowienia!$M:$M,"Mall.cz",Zamowienia!$D:$D,"1",Zamowienia!$G:$G,$A26))</f>
        <v>0</v>
      </c>
      <c r="D26" s="3">
        <f ca="1">IF($A26/(TODAY()-1)&gt;1,"",SUMIFS(Zamowienia!$K:$K,Zamowienia!$M:$M,"Osobiście/tel.",Zamowienia!$L:$L,"Mall.sk-*",Zamowienia!$D:$D,"1",Zamowienia!$G:$G,$A26,Zamowienia!$O:$O,"Extra")+SUMIFS(Zamowienia!$K:$K,Zamowienia!$M:$M,"Mall.sk",Zamowienia!$D:$D,"1",Zamowienia!$G:$G,$A26))</f>
        <v>0</v>
      </c>
      <c r="E26" s="3">
        <f ca="1">IF($A26/(TODAY()-1)&gt;1,"",SUMIFS(Zamowienia!$K:$K,Zamowienia!$M:$M,"Osobiście/tel.",Zamowienia!$L:$L,"Mimovrste.com-*",Zamowienia!$D:$D,"1",Zamowienia!$G:$G,$A26,Zamowienia!$O:$O,"Extra")+SUMIFS(Zamowienia!$K:$K,Zamowienia!$M:$M,"Mimovrste.com",Zamowienia!$D:$D,"1",Zamowienia!$G:$G,$A26))</f>
        <v>0</v>
      </c>
      <c r="F26" s="3">
        <f ca="1">IF($A26/(TODAY()-1)&gt;1,"",SUMIFS(Zamowienia!$K:$K,Zamowienia!$H:$H,"Mall Extrastore HU",Zamowienia!$D:$D,"1",Zamowienia!$G:$G,A26))</f>
        <v>0</v>
      </c>
      <c r="G26" s="3">
        <f t="shared" ca="1" si="0"/>
        <v>0</v>
      </c>
      <c r="H26" s="3"/>
    </row>
    <row r="27" spans="1:8" ht="18.75" x14ac:dyDescent="0.25">
      <c r="A27" s="2">
        <v>45103</v>
      </c>
      <c r="B27" s="10" t="s">
        <v>6</v>
      </c>
      <c r="C27" s="3">
        <f ca="1">IF($A27/(TODAY()-1)&gt;1,"",SUMIFS(Zamowienia!$K:$K,Zamowienia!$M:$M,"Osobiście/tel.",Zamowienia!$L:$L,"Mall.cz-*",Zamowienia!$D:$D,"1",Zamowienia!$G:$G,$A27,Zamowienia!$O:$O,"Extra")+SUMIFS(Zamowienia!$K:$K,Zamowienia!$M:$M,"Mall.cz",Zamowienia!$D:$D,"1",Zamowienia!$G:$G,$A27))</f>
        <v>0</v>
      </c>
      <c r="D27" s="3">
        <f ca="1">IF($A27/(TODAY()-1)&gt;1,"",SUMIFS(Zamowienia!$K:$K,Zamowienia!$M:$M,"Osobiście/tel.",Zamowienia!$L:$L,"Mall.sk-*",Zamowienia!$D:$D,"1",Zamowienia!$G:$G,$A27,Zamowienia!$O:$O,"Extra")+SUMIFS(Zamowienia!$K:$K,Zamowienia!$M:$M,"Mall.sk",Zamowienia!$D:$D,"1",Zamowienia!$G:$G,$A27))</f>
        <v>0</v>
      </c>
      <c r="E27" s="3">
        <f ca="1">IF($A27/(TODAY()-1)&gt;1,"",SUMIFS(Zamowienia!$K:$K,Zamowienia!$M:$M,"Osobiście/tel.",Zamowienia!$L:$L,"Mimovrste.com-*",Zamowienia!$D:$D,"1",Zamowienia!$G:$G,$A27,Zamowienia!$O:$O,"Extra")+SUMIFS(Zamowienia!$K:$K,Zamowienia!$M:$M,"Mimovrste.com",Zamowienia!$D:$D,"1",Zamowienia!$G:$G,$A27))</f>
        <v>0</v>
      </c>
      <c r="F27" s="3">
        <f ca="1">IF($A27/(TODAY()-1)&gt;1,"",SUMIFS(Zamowienia!$K:$K,Zamowienia!$H:$H,"Mall Extrastore HU",Zamowienia!$D:$D,"1",Zamowienia!$G:$G,A27))</f>
        <v>0</v>
      </c>
      <c r="G27" s="3">
        <f t="shared" ca="1" si="0"/>
        <v>0</v>
      </c>
      <c r="H27" s="3"/>
    </row>
    <row r="28" spans="1:8" ht="18.75" x14ac:dyDescent="0.25">
      <c r="A28" s="2">
        <v>45104</v>
      </c>
      <c r="B28" s="4" t="s">
        <v>11</v>
      </c>
      <c r="C28" s="3">
        <f ca="1">IF($A28/(TODAY()-1)&gt;1,"",SUMIFS(Zamowienia!$K:$K,Zamowienia!$M:$M,"Osobiście/tel.",Zamowienia!$L:$L,"Mall.cz-*",Zamowienia!$D:$D,"1",Zamowienia!$G:$G,$A28,Zamowienia!$O:$O,"Extra")+SUMIFS(Zamowienia!$K:$K,Zamowienia!$M:$M,"Mall.cz",Zamowienia!$D:$D,"1",Zamowienia!$G:$G,$A28))</f>
        <v>0</v>
      </c>
      <c r="D28" s="3">
        <f ca="1">IF($A28/(TODAY()-1)&gt;1,"",SUMIFS(Zamowienia!$K:$K,Zamowienia!$M:$M,"Osobiście/tel.",Zamowienia!$L:$L,"Mall.sk-*",Zamowienia!$D:$D,"1",Zamowienia!$G:$G,$A28,Zamowienia!$O:$O,"Extra")+SUMIFS(Zamowienia!$K:$K,Zamowienia!$M:$M,"Mall.sk",Zamowienia!$D:$D,"1",Zamowienia!$G:$G,$A28))</f>
        <v>0</v>
      </c>
      <c r="E28" s="3">
        <f ca="1">IF($A28/(TODAY()-1)&gt;1,"",SUMIFS(Zamowienia!$K:$K,Zamowienia!$M:$M,"Osobiście/tel.",Zamowienia!$L:$L,"Mimovrste.com-*",Zamowienia!$D:$D,"1",Zamowienia!$G:$G,$A28,Zamowienia!$O:$O,"Extra")+SUMIFS(Zamowienia!$K:$K,Zamowienia!$M:$M,"Mimovrste.com",Zamowienia!$D:$D,"1",Zamowienia!$G:$G,$A28))</f>
        <v>0</v>
      </c>
      <c r="F28" s="3">
        <f ca="1">IF($A28/(TODAY()-1)&gt;1,"",SUMIFS(Zamowienia!$K:$K,Zamowienia!$H:$H,"Mall Extrastore HU",Zamowienia!$D:$D,"1",Zamowienia!$G:$G,A28))</f>
        <v>0</v>
      </c>
      <c r="G28" s="3">
        <f t="shared" ca="1" si="0"/>
        <v>0</v>
      </c>
      <c r="H28" s="3"/>
    </row>
    <row r="29" spans="1:8" ht="18.75" x14ac:dyDescent="0.25">
      <c r="A29" s="2">
        <v>45105</v>
      </c>
      <c r="B29" s="4" t="s">
        <v>13</v>
      </c>
      <c r="C29" s="3">
        <f ca="1">IF($A29/(TODAY()-1)&gt;1,"",SUMIFS(Zamowienia!$K:$K,Zamowienia!$M:$M,"Osobiście/tel.",Zamowienia!$L:$L,"Mall.cz-*",Zamowienia!$D:$D,"1",Zamowienia!$G:$G,$A29,Zamowienia!$O:$O,"Extra")+SUMIFS(Zamowienia!$K:$K,Zamowienia!$M:$M,"Mall.cz",Zamowienia!$D:$D,"1",Zamowienia!$G:$G,$A29))</f>
        <v>0</v>
      </c>
      <c r="D29" s="3">
        <f ca="1">IF($A29/(TODAY()-1)&gt;1,"",SUMIFS(Zamowienia!$K:$K,Zamowienia!$M:$M,"Osobiście/tel.",Zamowienia!$L:$L,"Mall.sk-*",Zamowienia!$D:$D,"1",Zamowienia!$G:$G,$A29,Zamowienia!$O:$O,"Extra")+SUMIFS(Zamowienia!$K:$K,Zamowienia!$M:$M,"Mall.sk",Zamowienia!$D:$D,"1",Zamowienia!$G:$G,$A29))</f>
        <v>0</v>
      </c>
      <c r="E29" s="3">
        <f ca="1">IF($A29/(TODAY()-1)&gt;1,"",SUMIFS(Zamowienia!$K:$K,Zamowienia!$M:$M,"Osobiście/tel.",Zamowienia!$L:$L,"Mimovrste.com-*",Zamowienia!$D:$D,"1",Zamowienia!$G:$G,$A29,Zamowienia!$O:$O,"Extra")+SUMIFS(Zamowienia!$K:$K,Zamowienia!$M:$M,"Mimovrste.com",Zamowienia!$D:$D,"1",Zamowienia!$G:$G,$A29))</f>
        <v>0</v>
      </c>
      <c r="F29" s="3">
        <f ca="1">IF($A29/(TODAY()-1)&gt;1,"",SUMIFS(Zamowienia!$K:$K,Zamowienia!$H:$H,"Mall Extrastore HU",Zamowienia!$D:$D,"1",Zamowienia!$G:$G,A29))</f>
        <v>0</v>
      </c>
      <c r="G29" s="3">
        <f t="shared" ca="1" si="0"/>
        <v>0</v>
      </c>
      <c r="H29" s="3"/>
    </row>
    <row r="30" spans="1:8" ht="18.75" x14ac:dyDescent="0.25">
      <c r="A30" s="2">
        <v>45106</v>
      </c>
      <c r="B30" s="4" t="s">
        <v>3</v>
      </c>
      <c r="C30" s="3">
        <f ca="1">IF($A30/(TODAY()-1)&gt;1,"",SUMIFS(Zamowienia!$K:$K,Zamowienia!$M:$M,"Osobiście/tel.",Zamowienia!$L:$L,"Mall.cz-*",Zamowienia!$D:$D,"1",Zamowienia!$G:$G,$A30,Zamowienia!$O:$O,"Extra")+SUMIFS(Zamowienia!$K:$K,Zamowienia!$M:$M,"Mall.cz",Zamowienia!$D:$D,"1",Zamowienia!$G:$G,$A30))</f>
        <v>0</v>
      </c>
      <c r="D30" s="3">
        <f ca="1">IF($A30/(TODAY()-1)&gt;1,"",SUMIFS(Zamowienia!$K:$K,Zamowienia!$M:$M,"Osobiście/tel.",Zamowienia!$L:$L,"Mall.sk-*",Zamowienia!$D:$D,"1",Zamowienia!$G:$G,$A30,Zamowienia!$O:$O,"Extra")+SUMIFS(Zamowienia!$K:$K,Zamowienia!$M:$M,"Mall.sk",Zamowienia!$D:$D,"1",Zamowienia!$G:$G,$A30))</f>
        <v>0</v>
      </c>
      <c r="E30" s="3">
        <f ca="1">IF($A30/(TODAY()-1)&gt;1,"",SUMIFS(Zamowienia!$K:$K,Zamowienia!$M:$M,"Osobiście/tel.",Zamowienia!$L:$L,"Mimovrste.com-*",Zamowienia!$D:$D,"1",Zamowienia!$G:$G,$A30,Zamowienia!$O:$O,"Extra")+SUMIFS(Zamowienia!$K:$K,Zamowienia!$M:$M,"Mimovrste.com",Zamowienia!$D:$D,"1",Zamowienia!$G:$G,$A30))</f>
        <v>0</v>
      </c>
      <c r="F30" s="3">
        <f ca="1">IF($A30/(TODAY()-1)&gt;1,"",SUMIFS(Zamowienia!$K:$K,Zamowienia!$H:$H,"Mall Extrastore HU",Zamowienia!$D:$D,"1",Zamowienia!$G:$G,A30))</f>
        <v>0</v>
      </c>
      <c r="G30" s="3">
        <f t="shared" ca="1" si="0"/>
        <v>0</v>
      </c>
    </row>
    <row r="31" spans="1:8" ht="18.75" x14ac:dyDescent="0.25">
      <c r="A31" s="2">
        <v>45107</v>
      </c>
      <c r="B31" s="4" t="s">
        <v>6</v>
      </c>
      <c r="C31" s="3">
        <f ca="1">IF($A31/(TODAY()-1)&gt;1,"",SUMIFS(Zamowienia!$K:$K,Zamowienia!$M:$M,"Osobiście/tel.",Zamowienia!$L:$L,"Mall.cz-*",Zamowienia!$D:$D,"1",Zamowienia!$G:$G,$A31,Zamowienia!$O:$O,"Extra")+SUMIFS(Zamowienia!$K:$K,Zamowienia!$M:$M,"Mall.cz",Zamowienia!$D:$D,"1",Zamowienia!$G:$G,$A31))</f>
        <v>0</v>
      </c>
      <c r="D31" s="3">
        <f ca="1">IF($A31/(TODAY()-1)&gt;1,"",SUMIFS(Zamowienia!$K:$K,Zamowienia!$M:$M,"Osobiście/tel.",Zamowienia!$L:$L,"Mall.sk-*",Zamowienia!$D:$D,"1",Zamowienia!$G:$G,$A31,Zamowienia!$O:$O,"Extra")+SUMIFS(Zamowienia!$K:$K,Zamowienia!$M:$M,"Mall.sk",Zamowienia!$D:$D,"1",Zamowienia!$G:$G,$A31))</f>
        <v>0</v>
      </c>
      <c r="E31" s="3">
        <f ca="1">IF($A31/(TODAY()-1)&gt;1,"",SUMIFS(Zamowienia!$K:$K,Zamowienia!$M:$M,"Osobiście/tel.",Zamowienia!$L:$L,"Mimovrste.com-*",Zamowienia!$D:$D,"1",Zamowienia!$G:$G,$A31,Zamowienia!$O:$O,"Extra")+SUMIFS(Zamowienia!$K:$K,Zamowienia!$M:$M,"Mimovrste.com",Zamowienia!$D:$D,"1",Zamowienia!$G:$G,$A31))</f>
        <v>0</v>
      </c>
      <c r="F31" s="3">
        <f ca="1">IF($A31/(TODAY()-1)&gt;1,"",SUMIFS(Zamowienia!$K:$K,Zamowienia!$H:$H,"Mall Extrastore HU",Zamowienia!$D:$D,"1",Zamowienia!$G:$G,A31))</f>
        <v>0</v>
      </c>
      <c r="G31" s="3">
        <f t="shared" ca="1" si="0"/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F0D3-D00B-4E68-9F9E-E9FD0E742F6D}">
  <dimension ref="A1:L31"/>
  <sheetViews>
    <sheetView workbookViewId="0">
      <selection activeCell="K3" sqref="K3"/>
    </sheetView>
  </sheetViews>
  <sheetFormatPr defaultRowHeight="15" x14ac:dyDescent="0.25"/>
  <cols>
    <col min="1" max="1" width="14.28515625" bestFit="1" customWidth="1"/>
    <col min="2" max="2" width="8.140625" customWidth="1"/>
    <col min="3" max="3" width="12.28515625" bestFit="1" customWidth="1"/>
    <col min="7" max="7" width="13.85546875" bestFit="1" customWidth="1"/>
    <col min="8" max="8" width="13.42578125" bestFit="1" customWidth="1"/>
    <col min="9" max="9" width="12.42578125" bestFit="1" customWidth="1"/>
    <col min="10" max="10" width="7.140625" bestFit="1" customWidth="1"/>
    <col min="11" max="11" width="16.85546875" bestFit="1" customWidth="1"/>
    <col min="12" max="12" width="9.85546875" bestFit="1" customWidth="1"/>
  </cols>
  <sheetData>
    <row r="1" spans="1:12" ht="18.75" x14ac:dyDescent="0.25">
      <c r="A1" s="1"/>
      <c r="C1" s="2" t="s">
        <v>39</v>
      </c>
    </row>
    <row r="2" spans="1:12" ht="18.75" x14ac:dyDescent="0.25">
      <c r="A2" s="2">
        <v>45078</v>
      </c>
      <c r="B2" s="4" t="s">
        <v>3</v>
      </c>
      <c r="C2" s="3">
        <f ca="1">IF($A2/(TODAY()-1)&gt;1,"",SUMIFS(Zamowienia!$K:$K,Zamowienia!$L:$L,"Joom",Zamowienia!$D:$D,"1",Zamowienia!$G:$G,$A2))</f>
        <v>0</v>
      </c>
      <c r="D2" s="3"/>
      <c r="E2" s="3"/>
      <c r="F2" s="3"/>
      <c r="G2" t="s">
        <v>39</v>
      </c>
      <c r="I2" t="s">
        <v>4</v>
      </c>
      <c r="J2" t="s">
        <v>5</v>
      </c>
      <c r="K2" t="str">
        <f ca="1">"Realizacja " &amp; TEXT(DATE(YEAR(TODAY()),MONTH(TODAY())-1,1),"MM.RRRR")</f>
        <v>Realizacja 06.2023</v>
      </c>
    </row>
    <row r="3" spans="1:12" ht="18.75" x14ac:dyDescent="0.25">
      <c r="A3" s="2">
        <v>45079</v>
      </c>
      <c r="B3" s="4" t="s">
        <v>6</v>
      </c>
      <c r="C3" s="3">
        <f ca="1">IF($A3/(TODAY()-1)&gt;1,"",SUMIFS(Zamowienia!$K:$K,Zamowienia!$L:$L,"Joom",Zamowienia!$D:$D,"1",Zamowienia!$G:$G,$A3))</f>
        <v>0</v>
      </c>
      <c r="D3" s="3"/>
      <c r="E3" s="3"/>
      <c r="G3" t="s">
        <v>7</v>
      </c>
      <c r="H3" s="6">
        <v>30000</v>
      </c>
      <c r="I3" s="6">
        <f ca="1">SUM(C2:C31)</f>
        <v>0</v>
      </c>
      <c r="J3" s="7">
        <f ca="1">I3/H3</f>
        <v>0</v>
      </c>
      <c r="K3" s="8">
        <v>5292.48</v>
      </c>
      <c r="L3" s="8">
        <f>K3/Roboczy!$B$2</f>
        <v>176.416</v>
      </c>
    </row>
    <row r="4" spans="1:12" ht="18.75" x14ac:dyDescent="0.25">
      <c r="A4" s="2">
        <v>45080</v>
      </c>
      <c r="B4" s="9" t="s">
        <v>8</v>
      </c>
      <c r="C4" s="3">
        <f ca="1">IF($A4/(TODAY()-1)&gt;1,"",SUMIFS(Zamowienia!$K:$K,Zamowienia!$L:$L,"Joom",Zamowienia!$D:$D,"1",Zamowienia!$G:$G,$A4))</f>
        <v>0</v>
      </c>
      <c r="D4" s="3"/>
      <c r="E4" s="3"/>
      <c r="G4" t="s">
        <v>9</v>
      </c>
      <c r="H4" s="6">
        <f>ROUND(H3/Roboczy!$B$1,2)</f>
        <v>967.74</v>
      </c>
      <c r="I4" s="3">
        <f ca="1">AVERAGE(C2:C31)</f>
        <v>0</v>
      </c>
      <c r="J4" s="7">
        <f ca="1">I4/H4</f>
        <v>0</v>
      </c>
      <c r="K4" s="8">
        <f ca="1">I3-K3</f>
        <v>-5292.48</v>
      </c>
      <c r="L4" s="7">
        <f ca="1">I4/L3-1</f>
        <v>-1</v>
      </c>
    </row>
    <row r="5" spans="1:12" ht="18.75" x14ac:dyDescent="0.25">
      <c r="A5" s="2">
        <v>45081</v>
      </c>
      <c r="B5" s="9" t="s">
        <v>10</v>
      </c>
      <c r="C5" s="3">
        <f ca="1">IF($A5/(TODAY()-1)&gt;1,"",SUMIFS(Zamowienia!$K:$K,Zamowienia!$L:$L,"Joom",Zamowienia!$D:$D,"1",Zamowienia!$G:$G,$A5))</f>
        <v>0</v>
      </c>
      <c r="D5" s="3"/>
      <c r="E5" s="3"/>
    </row>
    <row r="6" spans="1:12" ht="18.75" x14ac:dyDescent="0.25">
      <c r="A6" s="2">
        <v>45082</v>
      </c>
      <c r="B6" s="10" t="s">
        <v>6</v>
      </c>
      <c r="C6" s="3">
        <f ca="1">IF($A6/(TODAY()-1)&gt;1,"",SUMIFS(Zamowienia!$K:$K,Zamowienia!$L:$L,"Joom",Zamowienia!$D:$D,"1",Zamowienia!$G:$G,$A6))</f>
        <v>0</v>
      </c>
      <c r="D6" s="3"/>
      <c r="E6" s="3"/>
    </row>
    <row r="7" spans="1:12" ht="18.75" x14ac:dyDescent="0.25">
      <c r="A7" s="2">
        <v>45083</v>
      </c>
      <c r="B7" s="4" t="s">
        <v>11</v>
      </c>
      <c r="C7" s="3">
        <f ca="1">IF($A7/(TODAY()-1)&gt;1,"",SUMIFS(Zamowienia!$K:$K,Zamowienia!$L:$L,"Joom",Zamowienia!$D:$D,"1",Zamowienia!$G:$G,$A7))</f>
        <v>0</v>
      </c>
      <c r="D7" s="3"/>
      <c r="E7" s="3"/>
    </row>
    <row r="8" spans="1:12" ht="18.75" x14ac:dyDescent="0.25">
      <c r="A8" s="2">
        <v>45084</v>
      </c>
      <c r="B8" s="4" t="s">
        <v>13</v>
      </c>
      <c r="C8" s="3">
        <f ca="1">IF($A8/(TODAY()-1)&gt;1,"",SUMIFS(Zamowienia!$K:$K,Zamowienia!$L:$L,"Joom",Zamowienia!$D:$D,"1",Zamowienia!$G:$G,$A8))</f>
        <v>0</v>
      </c>
      <c r="D8" s="3"/>
      <c r="E8" s="3"/>
    </row>
    <row r="9" spans="1:12" ht="18.75" x14ac:dyDescent="0.25">
      <c r="A9" s="2">
        <v>45085</v>
      </c>
      <c r="B9" s="4" t="s">
        <v>3</v>
      </c>
      <c r="C9" s="3">
        <f ca="1">IF($A9/(TODAY()-1)&gt;1,"",SUMIFS(Zamowienia!$K:$K,Zamowienia!$L:$L,"Joom",Zamowienia!$D:$D,"1",Zamowienia!$G:$G,$A9))</f>
        <v>0</v>
      </c>
    </row>
    <row r="10" spans="1:12" ht="18.75" x14ac:dyDescent="0.25">
      <c r="A10" s="2">
        <v>45086</v>
      </c>
      <c r="B10" s="4" t="s">
        <v>6</v>
      </c>
      <c r="C10" s="3">
        <f ca="1">IF($A10/(TODAY()-1)&gt;1,"",SUMIFS(Zamowienia!$K:$K,Zamowienia!$L:$L,"Joom",Zamowienia!$D:$D,"1",Zamowienia!$G:$G,$A10))</f>
        <v>0</v>
      </c>
    </row>
    <row r="11" spans="1:12" ht="18.75" x14ac:dyDescent="0.25">
      <c r="A11" s="2">
        <v>45087</v>
      </c>
      <c r="B11" s="9" t="s">
        <v>8</v>
      </c>
      <c r="C11" s="3">
        <f ca="1">IF($A11/(TODAY()-1)&gt;1,"",SUMIFS(Zamowienia!$K:$K,Zamowienia!$L:$L,"Joom",Zamowienia!$D:$D,"1",Zamowienia!$G:$G,$A11))</f>
        <v>0</v>
      </c>
    </row>
    <row r="12" spans="1:12" ht="18.75" x14ac:dyDescent="0.25">
      <c r="A12" s="2">
        <v>45088</v>
      </c>
      <c r="B12" s="9" t="s">
        <v>10</v>
      </c>
      <c r="C12" s="3">
        <f ca="1">IF($A12/(TODAY()-1)&gt;1,"",SUMIFS(Zamowienia!$K:$K,Zamowienia!$L:$L,"Joom",Zamowienia!$D:$D,"1",Zamowienia!$G:$G,$A12))</f>
        <v>0</v>
      </c>
    </row>
    <row r="13" spans="1:12" ht="18.75" x14ac:dyDescent="0.25">
      <c r="A13" s="2">
        <v>45089</v>
      </c>
      <c r="B13" s="10" t="s">
        <v>6</v>
      </c>
      <c r="C13" s="3">
        <f ca="1">IF($A13/(TODAY()-1)&gt;1,"",SUMIFS(Zamowienia!$K:$K,Zamowienia!$L:$L,"Joom",Zamowienia!$D:$D,"1",Zamowienia!$G:$G,$A13))</f>
        <v>0</v>
      </c>
    </row>
    <row r="14" spans="1:12" ht="18.75" x14ac:dyDescent="0.25">
      <c r="A14" s="2">
        <v>45090</v>
      </c>
      <c r="B14" s="4" t="s">
        <v>11</v>
      </c>
      <c r="C14" s="3">
        <f ca="1">IF($A14/(TODAY()-1)&gt;1,"",SUMIFS(Zamowienia!$K:$K,Zamowienia!$L:$L,"Joom",Zamowienia!$D:$D,"1",Zamowienia!$G:$G,$A14))</f>
        <v>0</v>
      </c>
    </row>
    <row r="15" spans="1:12" ht="18.75" x14ac:dyDescent="0.25">
      <c r="A15" s="2">
        <v>45091</v>
      </c>
      <c r="B15" s="4" t="s">
        <v>13</v>
      </c>
      <c r="C15" s="3">
        <f ca="1">IF($A15/(TODAY()-1)&gt;1,"",SUMIFS(Zamowienia!$K:$K,Zamowienia!$L:$L,"Joom",Zamowienia!$D:$D,"1",Zamowienia!$G:$G,$A15))</f>
        <v>0</v>
      </c>
    </row>
    <row r="16" spans="1:12" ht="18.75" x14ac:dyDescent="0.25">
      <c r="A16" s="2">
        <v>45092</v>
      </c>
      <c r="B16" s="4" t="s">
        <v>3</v>
      </c>
      <c r="C16" s="3">
        <f ca="1">IF($A16/(TODAY()-1)&gt;1,"",SUMIFS(Zamowienia!$K:$K,Zamowienia!$L:$L,"Joom",Zamowienia!$D:$D,"1",Zamowienia!$G:$G,$A16))</f>
        <v>0</v>
      </c>
    </row>
    <row r="17" spans="1:3" ht="18.75" x14ac:dyDescent="0.25">
      <c r="A17" s="2">
        <v>45093</v>
      </c>
      <c r="B17" s="4" t="s">
        <v>6</v>
      </c>
      <c r="C17" s="3">
        <f ca="1">IF($A17/(TODAY()-1)&gt;1,"",SUMIFS(Zamowienia!$K:$K,Zamowienia!$L:$L,"Joom",Zamowienia!$D:$D,"1",Zamowienia!$G:$G,$A17))</f>
        <v>0</v>
      </c>
    </row>
    <row r="18" spans="1:3" ht="18.75" x14ac:dyDescent="0.25">
      <c r="A18" s="2">
        <v>45094</v>
      </c>
      <c r="B18" s="9" t="s">
        <v>8</v>
      </c>
      <c r="C18" s="3">
        <f ca="1">IF($A18/(TODAY()-1)&gt;1,"",SUMIFS(Zamowienia!$K:$K,Zamowienia!$L:$L,"Joom",Zamowienia!$D:$D,"1",Zamowienia!$G:$G,$A18))</f>
        <v>0</v>
      </c>
    </row>
    <row r="19" spans="1:3" ht="18.75" x14ac:dyDescent="0.25">
      <c r="A19" s="2">
        <v>45095</v>
      </c>
      <c r="B19" s="9" t="s">
        <v>10</v>
      </c>
      <c r="C19" s="3">
        <f ca="1">IF($A19/(TODAY()-1)&gt;1,"",SUMIFS(Zamowienia!$K:$K,Zamowienia!$L:$L,"Joom",Zamowienia!$D:$D,"1",Zamowienia!$G:$G,$A19))</f>
        <v>0</v>
      </c>
    </row>
    <row r="20" spans="1:3" ht="18.75" x14ac:dyDescent="0.25">
      <c r="A20" s="2">
        <v>45096</v>
      </c>
      <c r="B20" s="10" t="s">
        <v>6</v>
      </c>
      <c r="C20" s="3">
        <f ca="1">IF($A20/(TODAY()-1)&gt;1,"",SUMIFS(Zamowienia!$K:$K,Zamowienia!$L:$L,"Joom",Zamowienia!$D:$D,"1",Zamowienia!$G:$G,$A20))</f>
        <v>0</v>
      </c>
    </row>
    <row r="21" spans="1:3" ht="18.75" x14ac:dyDescent="0.25">
      <c r="A21" s="2">
        <v>45097</v>
      </c>
      <c r="B21" s="4" t="s">
        <v>11</v>
      </c>
      <c r="C21" s="3">
        <f ca="1">IF($A21/(TODAY()-1)&gt;1,"",SUMIFS(Zamowienia!$K:$K,Zamowienia!$L:$L,"Joom",Zamowienia!$D:$D,"1",Zamowienia!$G:$G,$A21))</f>
        <v>0</v>
      </c>
    </row>
    <row r="22" spans="1:3" ht="18.75" x14ac:dyDescent="0.25">
      <c r="A22" s="2">
        <v>45098</v>
      </c>
      <c r="B22" s="4" t="s">
        <v>13</v>
      </c>
      <c r="C22" s="3">
        <f ca="1">IF($A22/(TODAY()-1)&gt;1,"",SUMIFS(Zamowienia!$K:$K,Zamowienia!$L:$L,"Joom",Zamowienia!$D:$D,"1",Zamowienia!$G:$G,$A22))</f>
        <v>0</v>
      </c>
    </row>
    <row r="23" spans="1:3" ht="18.75" x14ac:dyDescent="0.25">
      <c r="A23" s="2">
        <v>45099</v>
      </c>
      <c r="B23" s="4" t="s">
        <v>3</v>
      </c>
      <c r="C23" s="3">
        <f ca="1">IF($A23/(TODAY()-1)&gt;1,"",SUMIFS(Zamowienia!$K:$K,Zamowienia!$L:$L,"Joom",Zamowienia!$D:$D,"1",Zamowienia!$G:$G,$A23))</f>
        <v>0</v>
      </c>
    </row>
    <row r="24" spans="1:3" ht="18.75" x14ac:dyDescent="0.25">
      <c r="A24" s="2">
        <v>45100</v>
      </c>
      <c r="B24" s="4" t="s">
        <v>6</v>
      </c>
      <c r="C24" s="3">
        <f ca="1">IF($A24/(TODAY()-1)&gt;1,"",SUMIFS(Zamowienia!$K:$K,Zamowienia!$L:$L,"Joom",Zamowienia!$D:$D,"1",Zamowienia!$G:$G,$A24))</f>
        <v>0</v>
      </c>
    </row>
    <row r="25" spans="1:3" ht="18.75" x14ac:dyDescent="0.25">
      <c r="A25" s="2">
        <v>45101</v>
      </c>
      <c r="B25" s="9" t="s">
        <v>8</v>
      </c>
      <c r="C25" s="3">
        <f ca="1">IF($A25/(TODAY()-1)&gt;1,"",SUMIFS(Zamowienia!$K:$K,Zamowienia!$L:$L,"Joom",Zamowienia!$D:$D,"1",Zamowienia!$G:$G,$A25))</f>
        <v>0</v>
      </c>
    </row>
    <row r="26" spans="1:3" ht="18.75" x14ac:dyDescent="0.25">
      <c r="A26" s="2">
        <v>45102</v>
      </c>
      <c r="B26" s="9" t="s">
        <v>10</v>
      </c>
      <c r="C26" s="3">
        <f ca="1">IF($A26/(TODAY()-1)&gt;1,"",SUMIFS(Zamowienia!$K:$K,Zamowienia!$L:$L,"Joom",Zamowienia!$D:$D,"1",Zamowienia!$G:$G,$A26))</f>
        <v>0</v>
      </c>
    </row>
    <row r="27" spans="1:3" ht="18.75" x14ac:dyDescent="0.25">
      <c r="A27" s="2">
        <v>45103</v>
      </c>
      <c r="B27" s="10" t="s">
        <v>6</v>
      </c>
      <c r="C27" s="3">
        <f ca="1">IF($A27/(TODAY()-1)&gt;1,"",SUMIFS(Zamowienia!$K:$K,Zamowienia!$L:$L,"Joom",Zamowienia!$D:$D,"1",Zamowienia!$G:$G,$A27))</f>
        <v>0</v>
      </c>
    </row>
    <row r="28" spans="1:3" ht="18.75" x14ac:dyDescent="0.25">
      <c r="A28" s="2">
        <v>45104</v>
      </c>
      <c r="B28" s="4" t="s">
        <v>11</v>
      </c>
      <c r="C28" s="3">
        <f ca="1">IF($A28/(TODAY()-1)&gt;1,"",SUMIFS(Zamowienia!$K:$K,Zamowienia!$L:$L,"Joom",Zamowienia!$D:$D,"1",Zamowienia!$G:$G,$A28))</f>
        <v>0</v>
      </c>
    </row>
    <row r="29" spans="1:3" ht="18.75" x14ac:dyDescent="0.25">
      <c r="A29" s="2">
        <v>45105</v>
      </c>
      <c r="B29" s="4" t="s">
        <v>13</v>
      </c>
      <c r="C29" s="3">
        <f ca="1">IF($A29/(TODAY()-1)&gt;1,"",SUMIFS(Zamowienia!$K:$K,Zamowienia!$L:$L,"Joom",Zamowienia!$D:$D,"1",Zamowienia!$G:$G,$A29))</f>
        <v>0</v>
      </c>
    </row>
    <row r="30" spans="1:3" ht="18.75" x14ac:dyDescent="0.25">
      <c r="A30" s="2">
        <v>45106</v>
      </c>
      <c r="B30" s="4" t="s">
        <v>3</v>
      </c>
      <c r="C30" s="3">
        <f ca="1">IF($A30/(TODAY()-1)&gt;1,"",SUMIFS(Zamowienia!$K:$K,Zamowienia!$L:$L,"Joom",Zamowienia!$D:$D,"1",Zamowienia!$G:$G,$A30))</f>
        <v>0</v>
      </c>
    </row>
    <row r="31" spans="1:3" ht="18.75" x14ac:dyDescent="0.25">
      <c r="A31" s="2">
        <v>45107</v>
      </c>
      <c r="B31" s="4" t="s">
        <v>6</v>
      </c>
      <c r="C31" s="3">
        <f ca="1">IF($A31/(TODAY()-1)&gt;1,"",SUMIFS(Zamowienia!$K:$K,Zamowienia!$L:$L,"Joom",Zamowienia!$D:$D,"1",Zamowienia!$G:$G,$A31))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FCC0A-AF99-4113-9593-EF601C759556}">
  <dimension ref="A1:J31"/>
  <sheetViews>
    <sheetView workbookViewId="0">
      <selection activeCell="K9" sqref="K9"/>
    </sheetView>
  </sheetViews>
  <sheetFormatPr defaultRowHeight="15" x14ac:dyDescent="0.25"/>
  <cols>
    <col min="1" max="1" width="14.28515625" bestFit="1" customWidth="1"/>
    <col min="2" max="2" width="8.140625" customWidth="1"/>
    <col min="3" max="3" width="12.140625" customWidth="1"/>
    <col min="5" max="5" width="14.28515625" bestFit="1" customWidth="1"/>
    <col min="6" max="6" width="12.42578125" bestFit="1" customWidth="1"/>
    <col min="7" max="7" width="11.42578125" bestFit="1" customWidth="1"/>
    <col min="8" max="8" width="7.140625" bestFit="1" customWidth="1"/>
    <col min="9" max="9" width="18" bestFit="1" customWidth="1"/>
    <col min="10" max="10" width="8.85546875" bestFit="1" customWidth="1"/>
  </cols>
  <sheetData>
    <row r="1" spans="1:10" ht="18.75" x14ac:dyDescent="0.25">
      <c r="A1" s="1"/>
      <c r="C1" s="2" t="s">
        <v>40</v>
      </c>
    </row>
    <row r="2" spans="1:10" ht="18.75" x14ac:dyDescent="0.25">
      <c r="A2" s="2">
        <v>45078</v>
      </c>
      <c r="B2" s="4" t="s">
        <v>3</v>
      </c>
      <c r="C2" s="3">
        <f ca="1">IF($A2/(TODAY()-1)&gt;1,"",SUMIFS(Zamowienia!$K:$K,Zamowienia!$H:$H,"Aukro",Zamowienia!$D:$D,"1",Zamowienia!$G:$G,$A2))</f>
        <v>0</v>
      </c>
      <c r="E2" t="s">
        <v>40</v>
      </c>
      <c r="G2" t="s">
        <v>4</v>
      </c>
      <c r="H2" t="s">
        <v>5</v>
      </c>
      <c r="I2" t="str">
        <f ca="1">"Realizacja " &amp; TEXT(DATE(YEAR(TODAY()),MONTH(TODAY())-1,1),"MM.RRRR")</f>
        <v>Realizacja 06.2023</v>
      </c>
    </row>
    <row r="3" spans="1:10" ht="18.75" x14ac:dyDescent="0.25">
      <c r="A3" s="2">
        <v>45079</v>
      </c>
      <c r="B3" s="4" t="s">
        <v>6</v>
      </c>
      <c r="C3" s="3">
        <f ca="1">IF($A3/(TODAY()-1)&gt;1,"",SUMIFS(Zamowienia!$K:$K,Zamowienia!$H:$H,"Aukro",Zamowienia!$D:$D,"1",Zamowienia!$G:$G,$A3))</f>
        <v>0</v>
      </c>
      <c r="E3" t="s">
        <v>7</v>
      </c>
      <c r="F3" s="6">
        <v>50000</v>
      </c>
      <c r="G3" s="6">
        <f ca="1">SUM(C2:C31)</f>
        <v>0</v>
      </c>
      <c r="H3" s="7">
        <f ca="1">G3/F3</f>
        <v>0</v>
      </c>
      <c r="I3" s="8">
        <v>6604.8689138576792</v>
      </c>
      <c r="J3" s="8">
        <f>I3/Roboczy!$B$2</f>
        <v>220.1622971285893</v>
      </c>
    </row>
    <row r="4" spans="1:10" ht="18.75" x14ac:dyDescent="0.25">
      <c r="A4" s="2">
        <v>45080</v>
      </c>
      <c r="B4" s="9" t="s">
        <v>8</v>
      </c>
      <c r="C4" s="3">
        <f ca="1">IF($A4/(TODAY()-1)&gt;1,"",SUMIFS(Zamowienia!$K:$K,Zamowienia!$H:$H,"Aukro",Zamowienia!$D:$D,"1",Zamowienia!$G:$G,$A4))</f>
        <v>0</v>
      </c>
      <c r="E4" t="s">
        <v>9</v>
      </c>
      <c r="F4" s="6">
        <f>ROUND(F3/Roboczy!$B$1,2)</f>
        <v>1612.9</v>
      </c>
      <c r="G4" s="3">
        <f ca="1">AVERAGE(C2:C31)</f>
        <v>0</v>
      </c>
      <c r="H4" s="7">
        <f ca="1">G4/F4</f>
        <v>0</v>
      </c>
      <c r="I4" s="8">
        <f ca="1">G3-I3</f>
        <v>-6604.8689138576792</v>
      </c>
      <c r="J4" s="7">
        <f ca="1">G4/J3-1</f>
        <v>-1</v>
      </c>
    </row>
    <row r="5" spans="1:10" ht="18.75" x14ac:dyDescent="0.25">
      <c r="A5" s="2">
        <v>45081</v>
      </c>
      <c r="B5" s="9" t="s">
        <v>10</v>
      </c>
      <c r="C5" s="3">
        <f ca="1">IF($A5/(TODAY()-1)&gt;1,"",SUMIFS(Zamowienia!$K:$K,Zamowienia!$H:$H,"Aukro",Zamowienia!$D:$D,"1",Zamowienia!$G:$G,$A5))</f>
        <v>0</v>
      </c>
    </row>
    <row r="6" spans="1:10" ht="18.75" x14ac:dyDescent="0.25">
      <c r="A6" s="2">
        <v>45082</v>
      </c>
      <c r="B6" s="10" t="s">
        <v>6</v>
      </c>
      <c r="C6" s="3">
        <f ca="1">IF($A6/(TODAY()-1)&gt;1,"",SUMIFS(Zamowienia!$K:$K,Zamowienia!$H:$H,"Aukro",Zamowienia!$D:$D,"1",Zamowienia!$G:$G,$A6))</f>
        <v>0</v>
      </c>
    </row>
    <row r="7" spans="1:10" ht="18.75" x14ac:dyDescent="0.25">
      <c r="A7" s="2">
        <v>45083</v>
      </c>
      <c r="B7" s="4" t="s">
        <v>11</v>
      </c>
      <c r="C7" s="3">
        <f ca="1">IF($A7/(TODAY()-1)&gt;1,"",SUMIFS(Zamowienia!$K:$K,Zamowienia!$H:$H,"Aukro",Zamowienia!$D:$D,"1",Zamowienia!$G:$G,$A7))</f>
        <v>0</v>
      </c>
    </row>
    <row r="8" spans="1:10" ht="18.75" x14ac:dyDescent="0.25">
      <c r="A8" s="2">
        <v>45084</v>
      </c>
      <c r="B8" s="4" t="s">
        <v>13</v>
      </c>
      <c r="C8" s="3">
        <f ca="1">IF($A8/(TODAY()-1)&gt;1,"",SUMIFS(Zamowienia!$K:$K,Zamowienia!$H:$H,"Aukro",Zamowienia!$D:$D,"1",Zamowienia!$G:$G,$A8))</f>
        <v>0</v>
      </c>
    </row>
    <row r="9" spans="1:10" ht="18.75" x14ac:dyDescent="0.25">
      <c r="A9" s="2">
        <v>45085</v>
      </c>
      <c r="B9" s="4" t="s">
        <v>3</v>
      </c>
      <c r="C9" s="3">
        <f ca="1">IF($A9/(TODAY()-1)&gt;1,"",SUMIFS(Zamowienia!$K:$K,Zamowienia!$H:$H,"Aukro",Zamowienia!$D:$D,"1",Zamowienia!$G:$G,$A9))</f>
        <v>0</v>
      </c>
    </row>
    <row r="10" spans="1:10" ht="18.75" x14ac:dyDescent="0.25">
      <c r="A10" s="2">
        <v>45086</v>
      </c>
      <c r="B10" s="4" t="s">
        <v>6</v>
      </c>
      <c r="C10" s="3">
        <f ca="1">IF($A10/(TODAY()-1)&gt;1,"",SUMIFS(Zamowienia!$K:$K,Zamowienia!$H:$H,"Aukro",Zamowienia!$D:$D,"1",Zamowienia!$G:$G,$A10))</f>
        <v>0</v>
      </c>
    </row>
    <row r="11" spans="1:10" ht="18.75" x14ac:dyDescent="0.25">
      <c r="A11" s="2">
        <v>45087</v>
      </c>
      <c r="B11" s="9" t="s">
        <v>8</v>
      </c>
      <c r="C11" s="3">
        <f ca="1">IF($A11/(TODAY()-1)&gt;1,"",SUMIFS(Zamowienia!$K:$K,Zamowienia!$H:$H,"Aukro",Zamowienia!$D:$D,"1",Zamowienia!$G:$G,$A11))</f>
        <v>0</v>
      </c>
    </row>
    <row r="12" spans="1:10" ht="18.75" x14ac:dyDescent="0.25">
      <c r="A12" s="2">
        <v>45088</v>
      </c>
      <c r="B12" s="9" t="s">
        <v>10</v>
      </c>
      <c r="C12" s="3">
        <f ca="1">IF($A12/(TODAY()-1)&gt;1,"",SUMIFS(Zamowienia!$K:$K,Zamowienia!$H:$H,"Aukro",Zamowienia!$D:$D,"1",Zamowienia!$G:$G,$A12))</f>
        <v>0</v>
      </c>
    </row>
    <row r="13" spans="1:10" ht="18.75" x14ac:dyDescent="0.25">
      <c r="A13" s="2">
        <v>45089</v>
      </c>
      <c r="B13" s="10" t="s">
        <v>6</v>
      </c>
      <c r="C13" s="3">
        <f ca="1">IF($A13/(TODAY()-1)&gt;1,"",SUMIFS(Zamowienia!$K:$K,Zamowienia!$H:$H,"Aukro",Zamowienia!$D:$D,"1",Zamowienia!$G:$G,$A13))</f>
        <v>0</v>
      </c>
    </row>
    <row r="14" spans="1:10" ht="18.75" x14ac:dyDescent="0.25">
      <c r="A14" s="2">
        <v>45090</v>
      </c>
      <c r="B14" s="4" t="s">
        <v>11</v>
      </c>
      <c r="C14" s="3">
        <f ca="1">IF($A14/(TODAY()-1)&gt;1,"",SUMIFS(Zamowienia!$K:$K,Zamowienia!$H:$H,"Aukro",Zamowienia!$D:$D,"1",Zamowienia!$G:$G,$A14))</f>
        <v>0</v>
      </c>
    </row>
    <row r="15" spans="1:10" ht="18.75" x14ac:dyDescent="0.25">
      <c r="A15" s="2">
        <v>45091</v>
      </c>
      <c r="B15" s="4" t="s">
        <v>13</v>
      </c>
      <c r="C15" s="3">
        <f ca="1">IF($A15/(TODAY()-1)&gt;1,"",SUMIFS(Zamowienia!$K:$K,Zamowienia!$H:$H,"Aukro",Zamowienia!$D:$D,"1",Zamowienia!$G:$G,$A15))</f>
        <v>0</v>
      </c>
    </row>
    <row r="16" spans="1:10" ht="18.75" x14ac:dyDescent="0.25">
      <c r="A16" s="2">
        <v>45092</v>
      </c>
      <c r="B16" s="4" t="s">
        <v>3</v>
      </c>
      <c r="C16" s="3">
        <f ca="1">IF($A16/(TODAY()-1)&gt;1,"",SUMIFS(Zamowienia!$K:$K,Zamowienia!$H:$H,"Aukro",Zamowienia!$D:$D,"1",Zamowienia!$G:$G,$A16))</f>
        <v>0</v>
      </c>
    </row>
    <row r="17" spans="1:3" ht="18.75" x14ac:dyDescent="0.25">
      <c r="A17" s="2">
        <v>45093</v>
      </c>
      <c r="B17" s="4" t="s">
        <v>6</v>
      </c>
      <c r="C17" s="3">
        <f ca="1">IF($A17/(TODAY()-1)&gt;1,"",SUMIFS(Zamowienia!$K:$K,Zamowienia!$H:$H,"Aukro",Zamowienia!$D:$D,"1",Zamowienia!$G:$G,$A17))</f>
        <v>0</v>
      </c>
    </row>
    <row r="18" spans="1:3" ht="18.75" x14ac:dyDescent="0.25">
      <c r="A18" s="2">
        <v>45094</v>
      </c>
      <c r="B18" s="9" t="s">
        <v>8</v>
      </c>
      <c r="C18" s="3">
        <f ca="1">IF($A18/(TODAY()-1)&gt;1,"",SUMIFS(Zamowienia!$K:$K,Zamowienia!$H:$H,"Aukro",Zamowienia!$D:$D,"1",Zamowienia!$G:$G,$A18))</f>
        <v>0</v>
      </c>
    </row>
    <row r="19" spans="1:3" ht="18.75" x14ac:dyDescent="0.25">
      <c r="A19" s="2">
        <v>45095</v>
      </c>
      <c r="B19" s="9" t="s">
        <v>10</v>
      </c>
      <c r="C19" s="3">
        <f ca="1">IF($A19/(TODAY()-1)&gt;1,"",SUMIFS(Zamowienia!$K:$K,Zamowienia!$H:$H,"Aukro",Zamowienia!$D:$D,"1",Zamowienia!$G:$G,$A19))</f>
        <v>0</v>
      </c>
    </row>
    <row r="20" spans="1:3" ht="18.75" x14ac:dyDescent="0.25">
      <c r="A20" s="2">
        <v>45096</v>
      </c>
      <c r="B20" s="10" t="s">
        <v>6</v>
      </c>
      <c r="C20" s="3">
        <f ca="1">IF($A20/(TODAY()-1)&gt;1,"",SUMIFS(Zamowienia!$K:$K,Zamowienia!$H:$H,"Aukro",Zamowienia!$D:$D,"1",Zamowienia!$G:$G,$A20))</f>
        <v>0</v>
      </c>
    </row>
    <row r="21" spans="1:3" ht="18.75" x14ac:dyDescent="0.25">
      <c r="A21" s="2">
        <v>45097</v>
      </c>
      <c r="B21" s="4" t="s">
        <v>11</v>
      </c>
      <c r="C21" s="3">
        <f ca="1">IF($A21/(TODAY()-1)&gt;1,"",SUMIFS(Zamowienia!$K:$K,Zamowienia!$H:$H,"Aukro",Zamowienia!$D:$D,"1",Zamowienia!$G:$G,$A21))</f>
        <v>0</v>
      </c>
    </row>
    <row r="22" spans="1:3" ht="18.75" x14ac:dyDescent="0.25">
      <c r="A22" s="2">
        <v>45098</v>
      </c>
      <c r="B22" s="4" t="s">
        <v>13</v>
      </c>
      <c r="C22" s="3">
        <f ca="1">IF($A22/(TODAY()-1)&gt;1,"",SUMIFS(Zamowienia!$K:$K,Zamowienia!$H:$H,"Aukro",Zamowienia!$D:$D,"1",Zamowienia!$G:$G,$A22))</f>
        <v>0</v>
      </c>
    </row>
    <row r="23" spans="1:3" ht="18.75" x14ac:dyDescent="0.25">
      <c r="A23" s="2">
        <v>45099</v>
      </c>
      <c r="B23" s="4" t="s">
        <v>3</v>
      </c>
      <c r="C23" s="3">
        <f ca="1">IF($A23/(TODAY()-1)&gt;1,"",SUMIFS(Zamowienia!$K:$K,Zamowienia!$H:$H,"Aukro",Zamowienia!$D:$D,"1",Zamowienia!$G:$G,$A23))</f>
        <v>0</v>
      </c>
    </row>
    <row r="24" spans="1:3" ht="18.75" x14ac:dyDescent="0.25">
      <c r="A24" s="2">
        <v>45100</v>
      </c>
      <c r="B24" s="4" t="s">
        <v>6</v>
      </c>
      <c r="C24" s="3">
        <f ca="1">IF($A24/(TODAY()-1)&gt;1,"",SUMIFS(Zamowienia!$K:$K,Zamowienia!$H:$H,"Aukro",Zamowienia!$D:$D,"1",Zamowienia!$G:$G,$A24))</f>
        <v>0</v>
      </c>
    </row>
    <row r="25" spans="1:3" ht="18.75" x14ac:dyDescent="0.25">
      <c r="A25" s="2">
        <v>45101</v>
      </c>
      <c r="B25" s="9" t="s">
        <v>8</v>
      </c>
      <c r="C25" s="3">
        <f ca="1">IF($A25/(TODAY()-1)&gt;1,"",SUMIFS(Zamowienia!$K:$K,Zamowienia!$H:$H,"Aukro",Zamowienia!$D:$D,"1",Zamowienia!$G:$G,$A25))</f>
        <v>0</v>
      </c>
    </row>
    <row r="26" spans="1:3" ht="18.75" x14ac:dyDescent="0.25">
      <c r="A26" s="2">
        <v>45102</v>
      </c>
      <c r="B26" s="9" t="s">
        <v>10</v>
      </c>
      <c r="C26" s="3">
        <f ca="1">IF($A26/(TODAY()-1)&gt;1,"",SUMIFS(Zamowienia!$K:$K,Zamowienia!$H:$H,"Aukro",Zamowienia!$D:$D,"1",Zamowienia!$G:$G,$A26))</f>
        <v>0</v>
      </c>
    </row>
    <row r="27" spans="1:3" ht="18.75" x14ac:dyDescent="0.25">
      <c r="A27" s="2">
        <v>45103</v>
      </c>
      <c r="B27" s="10" t="s">
        <v>6</v>
      </c>
      <c r="C27" s="3">
        <f ca="1">IF($A27/(TODAY()-1)&gt;1,"",SUMIFS(Zamowienia!$K:$K,Zamowienia!$H:$H,"Aukro",Zamowienia!$D:$D,"1",Zamowienia!$G:$G,$A27))</f>
        <v>0</v>
      </c>
    </row>
    <row r="28" spans="1:3" ht="18.75" x14ac:dyDescent="0.25">
      <c r="A28" s="2">
        <v>45104</v>
      </c>
      <c r="B28" s="4" t="s">
        <v>11</v>
      </c>
      <c r="C28" s="3">
        <f ca="1">IF($A28/(TODAY()-1)&gt;1,"",SUMIFS(Zamowienia!$K:$K,Zamowienia!$H:$H,"Aukro",Zamowienia!$D:$D,"1",Zamowienia!$G:$G,$A28))</f>
        <v>0</v>
      </c>
    </row>
    <row r="29" spans="1:3" ht="18.75" x14ac:dyDescent="0.25">
      <c r="A29" s="2">
        <v>45105</v>
      </c>
      <c r="B29" s="4" t="s">
        <v>13</v>
      </c>
      <c r="C29" s="3">
        <f ca="1">IF($A29/(TODAY()-1)&gt;1,"",SUMIFS(Zamowienia!$K:$K,Zamowienia!$H:$H,"Aukro",Zamowienia!$D:$D,"1",Zamowienia!$G:$G,$A29))</f>
        <v>0</v>
      </c>
    </row>
    <row r="30" spans="1:3" ht="18.75" x14ac:dyDescent="0.25">
      <c r="A30" s="2">
        <v>45106</v>
      </c>
      <c r="B30" s="4" t="s">
        <v>3</v>
      </c>
      <c r="C30" s="3">
        <f ca="1">IF($A30/(TODAY()-1)&gt;1,"",SUMIFS(Zamowienia!$K:$K,Zamowienia!$H:$H,"Aukro",Zamowienia!$D:$D,"1",Zamowienia!$G:$G,$A30))</f>
        <v>0</v>
      </c>
    </row>
    <row r="31" spans="1:3" ht="18.75" x14ac:dyDescent="0.25">
      <c r="A31" s="2">
        <v>45107</v>
      </c>
      <c r="B31" s="4" t="s">
        <v>6</v>
      </c>
      <c r="C31" s="3">
        <f ca="1">IF($A31/(TODAY()-1)&gt;1,"",SUMIFS(Zamowienia!$K:$K,Zamowienia!$H:$H,"Aukro",Zamowienia!$D:$D,"1",Zamowienia!$G:$G,$A31))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E4D5D-71B2-4309-A1C2-2768D04CE8D4}">
  <dimension ref="B2:P40"/>
  <sheetViews>
    <sheetView workbookViewId="0">
      <selection activeCell="S19" sqref="S19"/>
    </sheetView>
  </sheetViews>
  <sheetFormatPr defaultColWidth="8.85546875" defaultRowHeight="15" x14ac:dyDescent="0.25"/>
  <cols>
    <col min="1" max="1" width="8.85546875" style="30"/>
    <col min="2" max="2" width="11.28515625" style="30" bestFit="1" customWidth="1"/>
    <col min="3" max="3" width="9.42578125" style="30" bestFit="1" customWidth="1"/>
    <col min="4" max="4" width="9.7109375" style="30" customWidth="1"/>
    <col min="5" max="5" width="9.28515625" style="30" bestFit="1" customWidth="1"/>
    <col min="6" max="6" width="9.5703125" style="30" customWidth="1"/>
    <col min="7" max="7" width="9.28515625" style="30" bestFit="1" customWidth="1"/>
    <col min="8" max="8" width="9.28515625" style="30" customWidth="1"/>
    <col min="9" max="9" width="9.28515625" style="30" bestFit="1" customWidth="1"/>
    <col min="10" max="10" width="11.5703125" style="30" customWidth="1"/>
    <col min="11" max="11" width="9.5703125" style="30" customWidth="1"/>
    <col min="12" max="12" width="9.85546875" style="30" bestFit="1" customWidth="1"/>
    <col min="13" max="13" width="12.140625" style="30" bestFit="1" customWidth="1"/>
    <col min="14" max="15" width="8.85546875" style="30"/>
    <col min="16" max="16" width="9.5703125" style="29" bestFit="1" customWidth="1"/>
    <col min="17" max="17" width="8.85546875" style="30"/>
    <col min="18" max="18" width="16" style="30" bestFit="1" customWidth="1"/>
    <col min="19" max="19" width="9.7109375" style="30" customWidth="1"/>
    <col min="20" max="16384" width="8.85546875" style="30"/>
  </cols>
  <sheetData>
    <row r="2" spans="2:16" ht="23.25" x14ac:dyDescent="0.35">
      <c r="B2" s="26" t="s">
        <v>41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2:16" ht="21" x14ac:dyDescent="0.25">
      <c r="B3" s="31"/>
      <c r="C3" s="32" t="s">
        <v>42</v>
      </c>
      <c r="D3" s="33" t="s">
        <v>43</v>
      </c>
      <c r="E3" s="34" t="s">
        <v>44</v>
      </c>
      <c r="F3" s="35"/>
      <c r="G3" s="34" t="s">
        <v>45</v>
      </c>
      <c r="H3" s="35"/>
      <c r="I3" s="36" t="s">
        <v>46</v>
      </c>
      <c r="J3" s="37"/>
      <c r="K3" s="38" t="s">
        <v>47</v>
      </c>
      <c r="L3" s="39" t="s">
        <v>48</v>
      </c>
      <c r="M3" s="40"/>
      <c r="N3" s="41" t="s">
        <v>49</v>
      </c>
      <c r="O3" s="42"/>
    </row>
    <row r="4" spans="2:16" ht="30" x14ac:dyDescent="0.25">
      <c r="B4" s="43"/>
      <c r="C4" s="44"/>
      <c r="D4" s="45"/>
      <c r="E4" s="46" t="s">
        <v>50</v>
      </c>
      <c r="F4" s="47" t="s">
        <v>51</v>
      </c>
      <c r="G4" s="46" t="s">
        <v>50</v>
      </c>
      <c r="H4" s="47" t="s">
        <v>51</v>
      </c>
      <c r="I4" s="46" t="s">
        <v>50</v>
      </c>
      <c r="J4" s="47" t="s">
        <v>51</v>
      </c>
      <c r="K4" s="48" t="s">
        <v>51</v>
      </c>
      <c r="L4" s="47" t="s">
        <v>51</v>
      </c>
      <c r="M4" s="46" t="s">
        <v>50</v>
      </c>
      <c r="N4" s="49" t="s">
        <v>5</v>
      </c>
      <c r="O4" s="46" t="s">
        <v>52</v>
      </c>
    </row>
    <row r="5" spans="2:16" ht="18.75" x14ac:dyDescent="0.3">
      <c r="B5" s="47" t="s">
        <v>53</v>
      </c>
      <c r="C5" s="50">
        <v>1217</v>
      </c>
      <c r="D5" s="50">
        <v>151</v>
      </c>
      <c r="E5" s="50">
        <v>0</v>
      </c>
      <c r="F5" s="51">
        <v>0</v>
      </c>
      <c r="G5" s="50">
        <v>0</v>
      </c>
      <c r="H5" s="51">
        <v>0</v>
      </c>
      <c r="I5" s="50">
        <v>0</v>
      </c>
      <c r="J5" s="51">
        <v>0</v>
      </c>
      <c r="K5" s="52">
        <v>4</v>
      </c>
      <c r="L5" s="51">
        <v>6</v>
      </c>
      <c r="M5" s="50">
        <f>I5+G5+E5</f>
        <v>0</v>
      </c>
      <c r="N5" s="53">
        <f>L5*100/(C5-D5)</f>
        <v>0.56285178236397748</v>
      </c>
      <c r="O5" s="54">
        <f>(L5+M5)*100/(C5-D5)</f>
        <v>0.56285178236397748</v>
      </c>
    </row>
    <row r="6" spans="2:16" ht="18.75" x14ac:dyDescent="0.3">
      <c r="B6" s="47" t="s">
        <v>54</v>
      </c>
      <c r="C6" s="50">
        <v>942</v>
      </c>
      <c r="D6" s="50">
        <v>106</v>
      </c>
      <c r="E6" s="50">
        <v>0</v>
      </c>
      <c r="F6" s="51">
        <v>0</v>
      </c>
      <c r="G6" s="50">
        <v>0</v>
      </c>
      <c r="H6" s="51">
        <v>0</v>
      </c>
      <c r="I6" s="50">
        <v>0</v>
      </c>
      <c r="J6" s="51">
        <v>0</v>
      </c>
      <c r="K6" s="52">
        <v>0</v>
      </c>
      <c r="L6" s="51">
        <v>4</v>
      </c>
      <c r="M6" s="50">
        <v>0</v>
      </c>
      <c r="N6" s="53">
        <f>L6*100/(C6-D6)</f>
        <v>0.4784688995215311</v>
      </c>
      <c r="O6" s="54">
        <f>(L6+M6)*100/(C6-D6)</f>
        <v>0.4784688995215311</v>
      </c>
    </row>
    <row r="7" spans="2:16" x14ac:dyDescent="0.25">
      <c r="E7" s="55"/>
      <c r="G7" s="55"/>
      <c r="I7" s="55"/>
      <c r="J7" s="56"/>
      <c r="K7" s="55"/>
      <c r="M7"/>
      <c r="N7" s="57"/>
    </row>
    <row r="9" spans="2:16" ht="23.25" x14ac:dyDescent="0.25">
      <c r="B9" s="58" t="s">
        <v>55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</row>
    <row r="10" spans="2:16" ht="21" x14ac:dyDescent="0.25">
      <c r="B10" s="60"/>
      <c r="C10" s="61" t="s">
        <v>42</v>
      </c>
      <c r="D10" s="61" t="s">
        <v>43</v>
      </c>
      <c r="E10" s="62" t="s">
        <v>44</v>
      </c>
      <c r="F10" s="62"/>
      <c r="G10" s="62" t="s">
        <v>45</v>
      </c>
      <c r="H10" s="62"/>
      <c r="I10" s="63" t="s">
        <v>46</v>
      </c>
      <c r="J10" s="63"/>
      <c r="K10" s="60" t="s">
        <v>48</v>
      </c>
      <c r="L10" s="60"/>
      <c r="M10" s="64" t="s">
        <v>49</v>
      </c>
      <c r="N10" s="64"/>
      <c r="O10" s="64"/>
      <c r="P10" s="59"/>
    </row>
    <row r="11" spans="2:16" ht="30" x14ac:dyDescent="0.25">
      <c r="B11" s="60"/>
      <c r="C11" s="61"/>
      <c r="D11" s="61"/>
      <c r="E11" s="46" t="s">
        <v>50</v>
      </c>
      <c r="F11" s="47" t="s">
        <v>51</v>
      </c>
      <c r="G11" s="46" t="s">
        <v>50</v>
      </c>
      <c r="H11" s="47" t="s">
        <v>51</v>
      </c>
      <c r="I11" s="46" t="s">
        <v>50</v>
      </c>
      <c r="J11" s="47" t="s">
        <v>51</v>
      </c>
      <c r="K11" s="47" t="s">
        <v>56</v>
      </c>
      <c r="L11" s="46" t="s">
        <v>57</v>
      </c>
      <c r="M11" s="49" t="s">
        <v>5</v>
      </c>
      <c r="N11" s="46" t="s">
        <v>58</v>
      </c>
      <c r="O11" s="46" t="s">
        <v>59</v>
      </c>
      <c r="P11" s="65"/>
    </row>
    <row r="12" spans="2:16" ht="18.75" x14ac:dyDescent="0.3">
      <c r="B12" s="66" t="s">
        <v>60</v>
      </c>
      <c r="C12" s="50">
        <v>354</v>
      </c>
      <c r="D12" s="50">
        <v>0</v>
      </c>
      <c r="E12" s="50">
        <v>0</v>
      </c>
      <c r="F12" s="51">
        <v>0</v>
      </c>
      <c r="G12" s="50">
        <v>0</v>
      </c>
      <c r="H12" s="51">
        <v>0</v>
      </c>
      <c r="I12" s="50">
        <v>0</v>
      </c>
      <c r="J12" s="51">
        <v>0</v>
      </c>
      <c r="K12" s="51">
        <v>4</v>
      </c>
      <c r="L12" s="50">
        <v>0</v>
      </c>
      <c r="M12" s="67">
        <f>K12*100/(C12-D12)</f>
        <v>1.1299435028248588</v>
      </c>
      <c r="N12" s="54">
        <f>(K12+L12)*100/(C12-D12)</f>
        <v>1.1299435028248588</v>
      </c>
      <c r="O12" s="50">
        <v>1</v>
      </c>
      <c r="P12" s="65"/>
    </row>
    <row r="13" spans="2:16" ht="18.75" x14ac:dyDescent="0.3">
      <c r="B13" s="66" t="s">
        <v>61</v>
      </c>
      <c r="C13" s="50">
        <v>706</v>
      </c>
      <c r="D13" s="50">
        <v>0</v>
      </c>
      <c r="E13" s="50">
        <v>0</v>
      </c>
      <c r="F13" s="51">
        <v>0</v>
      </c>
      <c r="G13" s="50">
        <v>0</v>
      </c>
      <c r="H13" s="51">
        <v>0</v>
      </c>
      <c r="I13" s="50">
        <v>0</v>
      </c>
      <c r="J13" s="51">
        <v>0</v>
      </c>
      <c r="K13" s="51">
        <v>3</v>
      </c>
      <c r="L13" s="50">
        <v>0</v>
      </c>
      <c r="M13" s="67">
        <f>K13*100/(C13-D13)</f>
        <v>0.42492917847025496</v>
      </c>
      <c r="N13" s="54">
        <f>(K13+L13)*100/(C13-D13)</f>
        <v>0.42492917847025496</v>
      </c>
      <c r="O13" s="50">
        <v>0.56000000000000005</v>
      </c>
      <c r="P13" s="65"/>
    </row>
    <row r="14" spans="2:16" ht="18.75" x14ac:dyDescent="0.3">
      <c r="B14" s="66" t="s">
        <v>62</v>
      </c>
      <c r="C14" s="50">
        <f>SUM(C12:C13)</f>
        <v>1060</v>
      </c>
      <c r="D14" s="50">
        <v>0</v>
      </c>
      <c r="E14" s="50">
        <f>E12+E13</f>
        <v>0</v>
      </c>
      <c r="F14" s="51">
        <f>F12+F13</f>
        <v>0</v>
      </c>
      <c r="G14" s="50">
        <f>G12+G13</f>
        <v>0</v>
      </c>
      <c r="H14" s="50">
        <f>H12+H13</f>
        <v>0</v>
      </c>
      <c r="I14" s="50">
        <f>I12+I13</f>
        <v>0</v>
      </c>
      <c r="J14" s="51">
        <f>J13+J12</f>
        <v>0</v>
      </c>
      <c r="K14" s="51">
        <f>SUM(F14+H14+J14)</f>
        <v>0</v>
      </c>
      <c r="L14" s="50">
        <f>I14+G14+E14</f>
        <v>0</v>
      </c>
      <c r="M14" s="67">
        <f>K14*100/(C14-D14)</f>
        <v>0</v>
      </c>
      <c r="N14" s="54">
        <f>(K14+L14)*100/(C14-D14)</f>
        <v>0</v>
      </c>
      <c r="O14" s="50"/>
      <c r="P14" s="65"/>
    </row>
    <row r="15" spans="2:16" x14ac:dyDescent="0.25">
      <c r="B15" s="55"/>
      <c r="P15" s="68"/>
    </row>
    <row r="16" spans="2:16" x14ac:dyDescent="0.25">
      <c r="B16" s="55"/>
      <c r="P16" s="68"/>
    </row>
    <row r="17" spans="2:16" ht="23.25" x14ac:dyDescent="0.25">
      <c r="B17" s="69" t="s">
        <v>63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59"/>
    </row>
    <row r="18" spans="2:16" ht="21" x14ac:dyDescent="0.25">
      <c r="B18" s="60"/>
      <c r="C18" s="61" t="s">
        <v>42</v>
      </c>
      <c r="D18" s="61" t="s">
        <v>43</v>
      </c>
      <c r="E18" s="34" t="s">
        <v>44</v>
      </c>
      <c r="F18" s="35"/>
      <c r="G18" s="34" t="s">
        <v>45</v>
      </c>
      <c r="H18" s="35"/>
      <c r="I18" s="36" t="s">
        <v>46</v>
      </c>
      <c r="J18" s="37"/>
      <c r="K18" s="39" t="s">
        <v>48</v>
      </c>
      <c r="L18" s="40"/>
      <c r="M18" s="41" t="s">
        <v>49</v>
      </c>
      <c r="N18" s="72"/>
      <c r="O18" s="42"/>
      <c r="P18" s="59"/>
    </row>
    <row r="19" spans="2:16" ht="30" x14ac:dyDescent="0.25">
      <c r="B19" s="60"/>
      <c r="C19" s="61"/>
      <c r="D19" s="61"/>
      <c r="E19" s="46" t="s">
        <v>50</v>
      </c>
      <c r="F19" s="47" t="s">
        <v>51</v>
      </c>
      <c r="G19" s="46" t="s">
        <v>50</v>
      </c>
      <c r="H19" s="47" t="s">
        <v>51</v>
      </c>
      <c r="I19" s="46" t="s">
        <v>50</v>
      </c>
      <c r="J19" s="47" t="s">
        <v>51</v>
      </c>
      <c r="K19" s="47" t="s">
        <v>56</v>
      </c>
      <c r="L19" s="73" t="s">
        <v>57</v>
      </c>
      <c r="M19" s="49" t="s">
        <v>5</v>
      </c>
      <c r="N19" s="46" t="s">
        <v>58</v>
      </c>
      <c r="O19" s="46" t="s">
        <v>59</v>
      </c>
      <c r="P19" s="65"/>
    </row>
    <row r="20" spans="2:16" ht="18.75" x14ac:dyDescent="0.3">
      <c r="B20" s="66" t="s">
        <v>60</v>
      </c>
      <c r="C20" s="50">
        <v>313</v>
      </c>
      <c r="D20" s="50">
        <v>0</v>
      </c>
      <c r="E20" s="50">
        <v>0</v>
      </c>
      <c r="F20" s="51">
        <v>0</v>
      </c>
      <c r="G20" s="50">
        <v>0</v>
      </c>
      <c r="H20" s="51">
        <v>0</v>
      </c>
      <c r="I20" s="50">
        <v>0</v>
      </c>
      <c r="J20" s="51">
        <v>0</v>
      </c>
      <c r="K20" s="51">
        <v>4</v>
      </c>
      <c r="L20" s="74">
        <v>0</v>
      </c>
      <c r="M20" s="67">
        <f>K20*100/(C20-D20)</f>
        <v>1.2779552715654952</v>
      </c>
      <c r="N20" s="54">
        <f>(K20+L20)*100/(C20-D20)</f>
        <v>1.2779552715654952</v>
      </c>
      <c r="O20" s="50">
        <v>2.27</v>
      </c>
      <c r="P20" s="65"/>
    </row>
    <row r="21" spans="2:16" ht="18.75" x14ac:dyDescent="0.3">
      <c r="B21" s="66" t="s">
        <v>61</v>
      </c>
      <c r="C21" s="50">
        <v>423</v>
      </c>
      <c r="D21" s="50">
        <v>0</v>
      </c>
      <c r="E21" s="50">
        <v>0</v>
      </c>
      <c r="F21" s="51">
        <v>0</v>
      </c>
      <c r="G21" s="50">
        <v>0</v>
      </c>
      <c r="H21" s="51">
        <v>0</v>
      </c>
      <c r="I21" s="50">
        <v>0</v>
      </c>
      <c r="J21" s="51">
        <v>0</v>
      </c>
      <c r="K21" s="51">
        <v>0</v>
      </c>
      <c r="L21" s="74">
        <v>0</v>
      </c>
      <c r="M21" s="67">
        <f>K21*100/(C21-D21)</f>
        <v>0</v>
      </c>
      <c r="N21" s="54">
        <f>(K21+L21)*100/(C21-D21)</f>
        <v>0</v>
      </c>
      <c r="O21" s="50">
        <v>0.91</v>
      </c>
      <c r="P21" s="65"/>
    </row>
    <row r="22" spans="2:16" ht="18.75" x14ac:dyDescent="0.3">
      <c r="B22" s="66" t="s">
        <v>62</v>
      </c>
      <c r="C22" s="50">
        <f>SUM(C20:C21)</f>
        <v>736</v>
      </c>
      <c r="D22" s="50">
        <v>0</v>
      </c>
      <c r="E22" s="50">
        <f t="shared" ref="E22:L22" si="0">SUM(E20:E21)</f>
        <v>0</v>
      </c>
      <c r="F22" s="50">
        <f t="shared" si="0"/>
        <v>0</v>
      </c>
      <c r="G22" s="50">
        <f t="shared" si="0"/>
        <v>0</v>
      </c>
      <c r="H22" s="50">
        <f t="shared" si="0"/>
        <v>0</v>
      </c>
      <c r="I22" s="50">
        <f t="shared" si="0"/>
        <v>0</v>
      </c>
      <c r="J22" s="50">
        <f t="shared" si="0"/>
        <v>0</v>
      </c>
      <c r="K22" s="50">
        <f t="shared" si="0"/>
        <v>4</v>
      </c>
      <c r="L22" s="50">
        <f t="shared" si="0"/>
        <v>0</v>
      </c>
      <c r="M22" s="67">
        <f>K22*100/(C22-D22)</f>
        <v>0.54347826086956519</v>
      </c>
      <c r="N22" s="54"/>
      <c r="O22" s="75"/>
      <c r="P22" s="65"/>
    </row>
    <row r="23" spans="2:16" x14ac:dyDescent="0.25">
      <c r="B23" s="55"/>
      <c r="P23" s="68"/>
    </row>
    <row r="24" spans="2:16" x14ac:dyDescent="0.25">
      <c r="B24" s="55"/>
      <c r="P24" s="68"/>
    </row>
    <row r="25" spans="2:16" ht="23.25" x14ac:dyDescent="0.35">
      <c r="B25" s="76" t="s">
        <v>64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59"/>
    </row>
    <row r="26" spans="2:16" ht="21" x14ac:dyDescent="0.25">
      <c r="B26" s="60"/>
      <c r="C26" s="61" t="s">
        <v>42</v>
      </c>
      <c r="D26" s="61" t="s">
        <v>43</v>
      </c>
      <c r="E26" s="62" t="s">
        <v>44</v>
      </c>
      <c r="F26" s="62"/>
      <c r="G26" s="62" t="s">
        <v>45</v>
      </c>
      <c r="H26" s="62"/>
      <c r="I26" s="63" t="s">
        <v>46</v>
      </c>
      <c r="J26" s="63"/>
      <c r="K26" s="60" t="s">
        <v>48</v>
      </c>
      <c r="L26" s="60"/>
      <c r="M26" s="64" t="s">
        <v>49</v>
      </c>
      <c r="N26" s="64"/>
      <c r="O26" s="64"/>
      <c r="P26" s="59"/>
    </row>
    <row r="27" spans="2:16" ht="30" x14ac:dyDescent="0.25">
      <c r="B27" s="60"/>
      <c r="C27" s="61"/>
      <c r="D27" s="61"/>
      <c r="E27" s="46" t="s">
        <v>50</v>
      </c>
      <c r="F27" s="47" t="s">
        <v>51</v>
      </c>
      <c r="G27" s="46" t="s">
        <v>50</v>
      </c>
      <c r="H27" s="47" t="s">
        <v>51</v>
      </c>
      <c r="I27" s="46" t="s">
        <v>50</v>
      </c>
      <c r="J27" s="47" t="s">
        <v>51</v>
      </c>
      <c r="K27" s="47" t="s">
        <v>56</v>
      </c>
      <c r="L27" s="46" t="s">
        <v>57</v>
      </c>
      <c r="M27" s="49" t="s">
        <v>5</v>
      </c>
      <c r="N27" s="46" t="s">
        <v>58</v>
      </c>
      <c r="O27" s="46" t="s">
        <v>59</v>
      </c>
      <c r="P27" s="65"/>
    </row>
    <row r="28" spans="2:16" ht="18.75" x14ac:dyDescent="0.3">
      <c r="B28" s="66" t="s">
        <v>60</v>
      </c>
      <c r="C28" s="50">
        <v>315</v>
      </c>
      <c r="D28" s="50">
        <v>0</v>
      </c>
      <c r="E28" s="50">
        <v>0</v>
      </c>
      <c r="F28" s="51">
        <v>0</v>
      </c>
      <c r="G28" s="50">
        <v>0</v>
      </c>
      <c r="H28" s="51">
        <v>0</v>
      </c>
      <c r="I28" s="50">
        <v>0</v>
      </c>
      <c r="J28" s="51">
        <v>0</v>
      </c>
      <c r="K28" s="51">
        <v>3</v>
      </c>
      <c r="L28" s="50">
        <f>I28+G28+E28</f>
        <v>0</v>
      </c>
      <c r="M28" s="67">
        <f>K28*100/(C28-D28)</f>
        <v>0.95238095238095233</v>
      </c>
      <c r="N28" s="54">
        <f>(K28+L28)*100/(C28-D28)</f>
        <v>0.95238095238095233</v>
      </c>
      <c r="O28" s="50">
        <v>0.85</v>
      </c>
      <c r="P28" s="65"/>
    </row>
    <row r="29" spans="2:16" ht="18.75" x14ac:dyDescent="0.3">
      <c r="B29" s="66" t="s">
        <v>61</v>
      </c>
      <c r="C29" s="50">
        <v>176</v>
      </c>
      <c r="D29" s="50">
        <v>0</v>
      </c>
      <c r="E29" s="50">
        <v>0</v>
      </c>
      <c r="F29" s="51">
        <v>0</v>
      </c>
      <c r="G29" s="50">
        <v>0</v>
      </c>
      <c r="H29" s="51">
        <v>0</v>
      </c>
      <c r="I29" s="50">
        <v>0</v>
      </c>
      <c r="J29" s="51">
        <v>0</v>
      </c>
      <c r="K29" s="51">
        <v>1</v>
      </c>
      <c r="L29" s="50">
        <v>0</v>
      </c>
      <c r="M29" s="67">
        <f>K29*100/(C29-D29)</f>
        <v>0.56818181818181823</v>
      </c>
      <c r="N29" s="54">
        <f>(K29+L29)*100/(C29-D29)</f>
        <v>0.56818181818181823</v>
      </c>
      <c r="O29" s="50">
        <v>0</v>
      </c>
      <c r="P29" s="65"/>
    </row>
    <row r="30" spans="2:16" ht="18.75" x14ac:dyDescent="0.3">
      <c r="B30" s="66" t="s">
        <v>62</v>
      </c>
      <c r="C30" s="50">
        <f>SUM(C28:C29)</f>
        <v>491</v>
      </c>
      <c r="D30" s="50">
        <f t="shared" ref="D30:L30" si="1">SUM(D28:D29)</f>
        <v>0</v>
      </c>
      <c r="E30" s="50">
        <f t="shared" si="1"/>
        <v>0</v>
      </c>
      <c r="F30" s="50">
        <f t="shared" si="1"/>
        <v>0</v>
      </c>
      <c r="G30" s="50">
        <f t="shared" si="1"/>
        <v>0</v>
      </c>
      <c r="H30" s="50">
        <f t="shared" si="1"/>
        <v>0</v>
      </c>
      <c r="I30" s="50">
        <f t="shared" si="1"/>
        <v>0</v>
      </c>
      <c r="J30" s="50">
        <f t="shared" si="1"/>
        <v>0</v>
      </c>
      <c r="K30" s="50">
        <f t="shared" si="1"/>
        <v>4</v>
      </c>
      <c r="L30" s="50">
        <f t="shared" si="1"/>
        <v>0</v>
      </c>
      <c r="M30" s="67">
        <f>K30*100/(C30-D30)</f>
        <v>0.81466395112016299</v>
      </c>
      <c r="N30" s="54"/>
      <c r="O30" s="50"/>
      <c r="P30" s="65"/>
    </row>
    <row r="33" spans="2:16" ht="23.25" x14ac:dyDescent="0.35">
      <c r="B33" s="76" t="s">
        <v>65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59"/>
    </row>
    <row r="34" spans="2:16" ht="21" x14ac:dyDescent="0.25">
      <c r="B34" s="60"/>
      <c r="C34" s="61" t="s">
        <v>42</v>
      </c>
      <c r="D34" s="33" t="s">
        <v>43</v>
      </c>
      <c r="E34" s="62" t="s">
        <v>44</v>
      </c>
      <c r="F34" s="62"/>
      <c r="G34" s="62" t="s">
        <v>45</v>
      </c>
      <c r="H34" s="62"/>
      <c r="I34" s="63" t="s">
        <v>46</v>
      </c>
      <c r="J34" s="63"/>
      <c r="K34" s="60" t="s">
        <v>48</v>
      </c>
      <c r="L34" s="60"/>
      <c r="M34" s="64" t="s">
        <v>49</v>
      </c>
      <c r="N34" s="64"/>
      <c r="O34" s="64"/>
      <c r="P34" s="59"/>
    </row>
    <row r="35" spans="2:16" ht="30" x14ac:dyDescent="0.25">
      <c r="B35" s="60"/>
      <c r="C35" s="61"/>
      <c r="D35" s="45"/>
      <c r="E35" s="46" t="s">
        <v>50</v>
      </c>
      <c r="F35" s="47" t="s">
        <v>51</v>
      </c>
      <c r="G35" s="46" t="s">
        <v>50</v>
      </c>
      <c r="H35" s="47" t="s">
        <v>51</v>
      </c>
      <c r="I35" s="46" t="s">
        <v>50</v>
      </c>
      <c r="J35" s="47" t="s">
        <v>51</v>
      </c>
      <c r="K35" s="47" t="s">
        <v>56</v>
      </c>
      <c r="L35" s="46" t="s">
        <v>57</v>
      </c>
      <c r="M35" s="49" t="s">
        <v>5</v>
      </c>
      <c r="N35" s="46" t="s">
        <v>58</v>
      </c>
      <c r="O35" s="46" t="s">
        <v>59</v>
      </c>
      <c r="P35" s="65"/>
    </row>
    <row r="36" spans="2:16" ht="18.75" x14ac:dyDescent="0.3">
      <c r="B36" s="66" t="s">
        <v>60</v>
      </c>
      <c r="C36" s="50">
        <v>141</v>
      </c>
      <c r="D36" s="50">
        <v>0</v>
      </c>
      <c r="E36" s="50">
        <v>0</v>
      </c>
      <c r="F36" s="51">
        <v>0</v>
      </c>
      <c r="G36" s="50">
        <v>0</v>
      </c>
      <c r="H36" s="51">
        <v>0</v>
      </c>
      <c r="I36" s="50">
        <v>0</v>
      </c>
      <c r="J36" s="51">
        <v>0</v>
      </c>
      <c r="K36" s="51">
        <v>1</v>
      </c>
      <c r="L36" s="50">
        <v>0</v>
      </c>
      <c r="M36" s="67">
        <f>K36*100/(C36-D36)</f>
        <v>0.70921985815602839</v>
      </c>
      <c r="N36" s="54">
        <f>(K36+L36)*100/(C36-D36)</f>
        <v>0.70921985815602839</v>
      </c>
      <c r="O36" s="50">
        <v>9.09</v>
      </c>
      <c r="P36" s="65"/>
    </row>
    <row r="37" spans="2:16" ht="18.75" x14ac:dyDescent="0.3">
      <c r="B37" s="66" t="s">
        <v>61</v>
      </c>
      <c r="C37" s="50">
        <v>50</v>
      </c>
      <c r="D37" s="50">
        <v>0</v>
      </c>
      <c r="E37" s="50">
        <v>0</v>
      </c>
      <c r="F37" s="51">
        <v>0</v>
      </c>
      <c r="G37" s="50">
        <v>0</v>
      </c>
      <c r="H37" s="51">
        <v>0</v>
      </c>
      <c r="I37" s="50">
        <v>0</v>
      </c>
      <c r="J37" s="51">
        <v>0</v>
      </c>
      <c r="K37" s="51">
        <v>0</v>
      </c>
      <c r="L37" s="50">
        <v>0</v>
      </c>
      <c r="M37" s="67">
        <f>K37*100/(C37-D37)</f>
        <v>0</v>
      </c>
      <c r="N37" s="54">
        <f>(K37+L37)*100/(C37-D37)</f>
        <v>0</v>
      </c>
      <c r="O37" s="50">
        <v>0</v>
      </c>
    </row>
    <row r="38" spans="2:16" ht="18.75" x14ac:dyDescent="0.3">
      <c r="B38" s="66" t="s">
        <v>62</v>
      </c>
      <c r="C38" s="50">
        <f t="shared" ref="C38:I38" si="2">C36+C37</f>
        <v>191</v>
      </c>
      <c r="D38" s="50">
        <f t="shared" si="2"/>
        <v>0</v>
      </c>
      <c r="E38" s="50">
        <f t="shared" si="2"/>
        <v>0</v>
      </c>
      <c r="F38" s="51">
        <f t="shared" si="2"/>
        <v>0</v>
      </c>
      <c r="G38" s="50">
        <f t="shared" si="2"/>
        <v>0</v>
      </c>
      <c r="H38" s="50">
        <f t="shared" si="2"/>
        <v>0</v>
      </c>
      <c r="I38" s="50">
        <f t="shared" si="2"/>
        <v>0</v>
      </c>
      <c r="J38" s="51">
        <f>J37+J36</f>
        <v>0</v>
      </c>
      <c r="K38" s="51">
        <f>SUM(K36:K37)</f>
        <v>1</v>
      </c>
      <c r="L38" s="51">
        <f>SUM(L36:L37)</f>
        <v>0</v>
      </c>
      <c r="M38" s="67">
        <f>K38*100/(C38-D38)</f>
        <v>0.52356020942408377</v>
      </c>
      <c r="N38" s="54"/>
      <c r="O38" s="50"/>
    </row>
    <row r="40" spans="2:16" x14ac:dyDescent="0.25">
      <c r="C40" s="77"/>
    </row>
  </sheetData>
  <mergeCells count="45">
    <mergeCell ref="B33:O33"/>
    <mergeCell ref="B34:B35"/>
    <mergeCell ref="C34:C35"/>
    <mergeCell ref="D34:D35"/>
    <mergeCell ref="E34:F34"/>
    <mergeCell ref="G34:H34"/>
    <mergeCell ref="I34:J34"/>
    <mergeCell ref="K34:L34"/>
    <mergeCell ref="M34:O34"/>
    <mergeCell ref="B25:O25"/>
    <mergeCell ref="B26:B27"/>
    <mergeCell ref="C26:C27"/>
    <mergeCell ref="D26:D27"/>
    <mergeCell ref="E26:F26"/>
    <mergeCell ref="G26:H26"/>
    <mergeCell ref="I26:J26"/>
    <mergeCell ref="K26:L26"/>
    <mergeCell ref="M26:O26"/>
    <mergeCell ref="B17:O17"/>
    <mergeCell ref="B18:B19"/>
    <mergeCell ref="C18:C19"/>
    <mergeCell ref="D18:D19"/>
    <mergeCell ref="E18:F18"/>
    <mergeCell ref="G18:H18"/>
    <mergeCell ref="I18:J18"/>
    <mergeCell ref="K18:L18"/>
    <mergeCell ref="M18:O18"/>
    <mergeCell ref="B9:O9"/>
    <mergeCell ref="B10:B11"/>
    <mergeCell ref="C10:C11"/>
    <mergeCell ref="D10:D11"/>
    <mergeCell ref="E10:F10"/>
    <mergeCell ref="G10:H10"/>
    <mergeCell ref="I10:J10"/>
    <mergeCell ref="K10:L10"/>
    <mergeCell ref="M10:O10"/>
    <mergeCell ref="B2:O2"/>
    <mergeCell ref="B3:B4"/>
    <mergeCell ref="C3:C4"/>
    <mergeCell ref="D3:D4"/>
    <mergeCell ref="E3:F3"/>
    <mergeCell ref="G3:H3"/>
    <mergeCell ref="I3:J3"/>
    <mergeCell ref="L3:M3"/>
    <mergeCell ref="N3:O3"/>
  </mergeCells>
  <conditionalFormatting sqref="M12:M14">
    <cfRule type="cellIs" dxfId="33" priority="18" operator="lessThan">
      <formula>3</formula>
    </cfRule>
    <cfRule type="cellIs" dxfId="32" priority="19" operator="greaterThan">
      <formula>3</formula>
    </cfRule>
  </conditionalFormatting>
  <conditionalFormatting sqref="M20:M22">
    <cfRule type="cellIs" dxfId="31" priority="16" operator="lessThan">
      <formula>3</formula>
    </cfRule>
    <cfRule type="cellIs" dxfId="30" priority="17" operator="greaterThan">
      <formula>3</formula>
    </cfRule>
  </conditionalFormatting>
  <conditionalFormatting sqref="M28:M30">
    <cfRule type="cellIs" dxfId="29" priority="13" operator="lessThan">
      <formula>3</formula>
    </cfRule>
    <cfRule type="cellIs" dxfId="28" priority="14" operator="greaterThan">
      <formula>3</formula>
    </cfRule>
  </conditionalFormatting>
  <conditionalFormatting sqref="M36:M38">
    <cfRule type="cellIs" dxfId="27" priority="3" operator="lessThan">
      <formula>3</formula>
    </cfRule>
    <cfRule type="cellIs" dxfId="26" priority="4" operator="greaterThan">
      <formula>3</formula>
    </cfRule>
  </conditionalFormatting>
  <conditionalFormatting sqref="N5:N6">
    <cfRule type="cellIs" dxfId="25" priority="33" operator="lessThan">
      <formula>3</formula>
    </cfRule>
    <cfRule type="cellIs" dxfId="24" priority="34" operator="greaterThan">
      <formula>3</formula>
    </cfRule>
  </conditionalFormatting>
  <conditionalFormatting sqref="O12">
    <cfRule type="cellIs" dxfId="23" priority="28" operator="lessThan">
      <formula>$M$12</formula>
    </cfRule>
    <cfRule type="cellIs" dxfId="22" priority="31" operator="lessThan">
      <formula>#REF!</formula>
    </cfRule>
    <cfRule type="cellIs" dxfId="21" priority="32" operator="greaterThan">
      <formula>#REF!</formula>
    </cfRule>
  </conditionalFormatting>
  <conditionalFormatting sqref="O12:O14">
    <cfRule type="cellIs" dxfId="20" priority="20" operator="lessThan">
      <formula>3</formula>
    </cfRule>
    <cfRule type="cellIs" dxfId="19" priority="21" operator="greaterThan">
      <formula>3</formula>
    </cfRule>
  </conditionalFormatting>
  <conditionalFormatting sqref="O13:O14">
    <cfRule type="cellIs" dxfId="18" priority="26" operator="lessThan">
      <formula>$M$13</formula>
    </cfRule>
    <cfRule type="cellIs" dxfId="17" priority="27" operator="equal">
      <formula>$M$13</formula>
    </cfRule>
    <cfRule type="cellIs" dxfId="16" priority="29" operator="lessThan">
      <formula>#REF!</formula>
    </cfRule>
    <cfRule type="cellIs" dxfId="15" priority="30" operator="greaterThan">
      <formula>#REF!</formula>
    </cfRule>
  </conditionalFormatting>
  <conditionalFormatting sqref="O20">
    <cfRule type="cellIs" dxfId="14" priority="25" operator="greaterThan">
      <formula>#REF!</formula>
    </cfRule>
  </conditionalFormatting>
  <conditionalFormatting sqref="O20:O21">
    <cfRule type="cellIs" dxfId="13" priority="15" operator="lessThan">
      <formula>3</formula>
    </cfRule>
  </conditionalFormatting>
  <conditionalFormatting sqref="O20:O26 O28:O34 O36">
    <cfRule type="cellIs" dxfId="12" priority="7" operator="lessThan">
      <formula>$M$12</formula>
    </cfRule>
    <cfRule type="cellIs" dxfId="11" priority="10" operator="lessThan">
      <formula>#REF!</formula>
    </cfRule>
  </conditionalFormatting>
  <conditionalFormatting sqref="O20:O26 O28:O34 O36:O38">
    <cfRule type="cellIs" dxfId="10" priority="2" operator="greaterThan">
      <formula>3</formula>
    </cfRule>
  </conditionalFormatting>
  <conditionalFormatting sqref="O21">
    <cfRule type="cellIs" dxfId="9" priority="24" operator="greaterThan">
      <formula>#REF!</formula>
    </cfRule>
  </conditionalFormatting>
  <conditionalFormatting sqref="O21:O26 O28:O34 O36:O38">
    <cfRule type="cellIs" dxfId="8" priority="5" operator="lessThan">
      <formula>$M$13</formula>
    </cfRule>
    <cfRule type="cellIs" dxfId="7" priority="6" operator="equal">
      <formula>$M$13</formula>
    </cfRule>
    <cfRule type="cellIs" dxfId="6" priority="8" operator="lessThan">
      <formula>#REF!</formula>
    </cfRule>
  </conditionalFormatting>
  <conditionalFormatting sqref="O28">
    <cfRule type="cellIs" dxfId="5" priority="23" operator="greaterThan">
      <formula>#REF!</formula>
    </cfRule>
  </conditionalFormatting>
  <conditionalFormatting sqref="O28:O30">
    <cfRule type="cellIs" dxfId="4" priority="12" operator="lessThan">
      <formula>3</formula>
    </cfRule>
  </conditionalFormatting>
  <conditionalFormatting sqref="O29:O30">
    <cfRule type="cellIs" dxfId="3" priority="22" operator="greaterThan">
      <formula>#REF!</formula>
    </cfRule>
  </conditionalFormatting>
  <conditionalFormatting sqref="O36">
    <cfRule type="cellIs" dxfId="2" priority="11" operator="greaterThan">
      <formula>#REF!</formula>
    </cfRule>
  </conditionalFormatting>
  <conditionalFormatting sqref="O36:O38">
    <cfRule type="cellIs" dxfId="1" priority="1" operator="lessThan">
      <formula>3</formula>
    </cfRule>
  </conditionalFormatting>
  <conditionalFormatting sqref="O37:O38">
    <cfRule type="cellIs" dxfId="0" priority="9" operator="greaterThan">
      <formula>#REF!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80BEE-1C03-47E3-953E-FE2D7EFBF3E8}">
  <dimension ref="A1:B6"/>
  <sheetViews>
    <sheetView tabSelected="1" workbookViewId="0">
      <selection sqref="A1:XFD1048576"/>
    </sheetView>
  </sheetViews>
  <sheetFormatPr defaultRowHeight="15" x14ac:dyDescent="0.25"/>
  <sheetData>
    <row r="1" spans="1:2" x14ac:dyDescent="0.25">
      <c r="A1" t="s">
        <v>66</v>
      </c>
    </row>
    <row r="2" spans="1:2" x14ac:dyDescent="0.25">
      <c r="A2" t="s">
        <v>67</v>
      </c>
      <c r="B2">
        <v>1</v>
      </c>
    </row>
    <row r="3" spans="1:2" x14ac:dyDescent="0.25">
      <c r="A3" t="s">
        <v>68</v>
      </c>
      <c r="B3">
        <v>4.47</v>
      </c>
    </row>
    <row r="4" spans="1:2" x14ac:dyDescent="0.25">
      <c r="A4" t="s">
        <v>69</v>
      </c>
      <c r="B4" s="78">
        <f>1/5.34</f>
        <v>0.18726591760299627</v>
      </c>
    </row>
    <row r="5" spans="1:2" x14ac:dyDescent="0.25">
      <c r="A5" t="s">
        <v>70</v>
      </c>
      <c r="B5">
        <v>1.2E-2</v>
      </c>
    </row>
    <row r="6" spans="1:2" x14ac:dyDescent="0.25">
      <c r="A6" t="s">
        <v>71</v>
      </c>
      <c r="B6">
        <v>4.2300000000000004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Dane wejsciowe</vt:lpstr>
      <vt:lpstr>Zamowienia</vt:lpstr>
      <vt:lpstr>Alza</vt:lpstr>
      <vt:lpstr>Mall</vt:lpstr>
      <vt:lpstr>Extrastore</vt:lpstr>
      <vt:lpstr>Joom</vt:lpstr>
      <vt:lpstr>Aukro</vt:lpstr>
      <vt:lpstr>Cancel rate</vt:lpstr>
      <vt:lpstr>Przewalutowanie</vt:lpstr>
      <vt:lpstr>Domkniete statusy</vt:lpstr>
      <vt:lpstr>Niedomknięte statusy</vt:lpstr>
      <vt:lpstr>Spolki</vt:lpstr>
      <vt:lpstr>Roboczy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Shumee</dc:creator>
  <cp:lastModifiedBy>Filip Shumee</cp:lastModifiedBy>
  <dcterms:created xsi:type="dcterms:W3CDTF">2023-07-03T09:00:27Z</dcterms:created>
  <dcterms:modified xsi:type="dcterms:W3CDTF">2023-07-03T09:26:24Z</dcterms:modified>
</cp:coreProperties>
</file>