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ip\Desktop\Shumee\Mall i Alza\"/>
    </mc:Choice>
  </mc:AlternateContent>
  <xr:revisionPtr revIDLastSave="0" documentId="13_ncr:1_{F43F9908-ACC7-4D0B-ACAF-0839D8E2E0FF}" xr6:coauthVersionLast="47" xr6:coauthVersionMax="47" xr10:uidLastSave="{00000000-0000-0000-0000-000000000000}"/>
  <bookViews>
    <workbookView xWindow="28680" yWindow="-120" windowWidth="29040" windowHeight="15840" activeTab="2" xr2:uid="{B0667219-82C4-440B-9506-849FE550B072}"/>
  </bookViews>
  <sheets>
    <sheet name="Czechy - nowe" sheetId="28" r:id="rId1"/>
    <sheet name="CZECHY" sheetId="18" r:id="rId2"/>
    <sheet name="Słowacja - nowe" sheetId="27" r:id="rId3"/>
    <sheet name="SŁOWACJA" sheetId="19" r:id="rId4"/>
    <sheet name="Słowenia - nowe" sheetId="26" r:id="rId5"/>
    <sheet name="SŁOWENIA" sheetId="20" r:id="rId6"/>
    <sheet name="Węgry - nowe" sheetId="29" r:id="rId7"/>
    <sheet name="WĘGRY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1" i="27" l="1"/>
  <c r="M120" i="27"/>
  <c r="M119" i="27"/>
  <c r="M118" i="27"/>
  <c r="M117" i="27"/>
  <c r="M113" i="27"/>
  <c r="M112" i="27"/>
  <c r="M111" i="27"/>
  <c r="M110" i="27"/>
  <c r="M109" i="27"/>
  <c r="M87" i="28"/>
  <c r="N87" i="28" s="1"/>
  <c r="P87" i="28" s="1"/>
  <c r="Q87" i="28" s="1"/>
  <c r="M86" i="28"/>
  <c r="N86" i="28" s="1"/>
  <c r="P86" i="28" s="1"/>
  <c r="Q86" i="28" s="1"/>
  <c r="M85" i="28"/>
  <c r="N85" i="28" s="1"/>
  <c r="P85" i="28" s="1"/>
  <c r="Q85" i="28" s="1"/>
  <c r="M84" i="28"/>
  <c r="N84" i="28" s="1"/>
  <c r="P84" i="28" s="1"/>
  <c r="Q84" i="28" s="1"/>
  <c r="M83" i="28"/>
  <c r="N83" i="28" s="1"/>
  <c r="P83" i="28" s="1"/>
  <c r="Q83" i="28" s="1"/>
  <c r="M79" i="28"/>
  <c r="N79" i="28" s="1"/>
  <c r="P79" i="28" s="1"/>
  <c r="Q79" i="28" s="1"/>
  <c r="M78" i="28"/>
  <c r="N78" i="28" s="1"/>
  <c r="P78" i="28" s="1"/>
  <c r="Q78" i="28" s="1"/>
  <c r="M77" i="28"/>
  <c r="N77" i="28" s="1"/>
  <c r="P77" i="28" s="1"/>
  <c r="Q77" i="28" s="1"/>
  <c r="M76" i="28"/>
  <c r="N76" i="28" s="1"/>
  <c r="P76" i="28" s="1"/>
  <c r="Q76" i="28" s="1"/>
  <c r="M75" i="28"/>
  <c r="N75" i="28" s="1"/>
  <c r="P75" i="28" s="1"/>
  <c r="Q75" i="28" s="1"/>
  <c r="M55" i="26"/>
  <c r="M54" i="26"/>
  <c r="M53" i="26"/>
  <c r="M52" i="26"/>
  <c r="M51" i="26"/>
  <c r="M47" i="26"/>
  <c r="M46" i="26"/>
  <c r="M45" i="26"/>
  <c r="M44" i="26"/>
  <c r="M43" i="26"/>
  <c r="M103" i="27"/>
  <c r="M102" i="27"/>
  <c r="M101" i="27"/>
  <c r="M100" i="27"/>
  <c r="M99" i="27"/>
  <c r="M95" i="27"/>
  <c r="M94" i="27"/>
  <c r="M93" i="27"/>
  <c r="M92" i="27"/>
  <c r="M91" i="27"/>
  <c r="M57" i="28"/>
  <c r="M69" i="28"/>
  <c r="M68" i="28"/>
  <c r="M67" i="28"/>
  <c r="M66" i="28"/>
  <c r="M65" i="28"/>
  <c r="M61" i="28"/>
  <c r="M60" i="28"/>
  <c r="M59" i="28"/>
  <c r="M58" i="28"/>
  <c r="M85" i="27"/>
  <c r="M84" i="27"/>
  <c r="M83" i="27"/>
  <c r="M82" i="27"/>
  <c r="M81" i="27"/>
  <c r="M47" i="28"/>
  <c r="M51" i="28"/>
  <c r="M50" i="28"/>
  <c r="M49" i="28"/>
  <c r="M48" i="28"/>
  <c r="M52" i="27"/>
  <c r="M63" i="27"/>
  <c r="M64" i="27"/>
  <c r="M65" i="27"/>
  <c r="M66" i="27"/>
  <c r="M62" i="27"/>
  <c r="M75" i="27"/>
  <c r="M74" i="27"/>
  <c r="M73" i="27"/>
  <c r="M72" i="27"/>
  <c r="M71" i="27"/>
  <c r="M56" i="27"/>
  <c r="M55" i="27"/>
  <c r="M54" i="27"/>
  <c r="M53" i="27"/>
  <c r="M47" i="27"/>
  <c r="M46" i="27"/>
  <c r="M45" i="27"/>
  <c r="M44" i="27"/>
  <c r="M43" i="27"/>
  <c r="M41" i="28"/>
  <c r="N41" i="28" s="1"/>
  <c r="P41" i="28" s="1"/>
  <c r="Q41" i="28" s="1"/>
  <c r="M40" i="28"/>
  <c r="N40" i="28" s="1"/>
  <c r="P40" i="28" s="1"/>
  <c r="Q40" i="28" s="1"/>
  <c r="M39" i="28"/>
  <c r="N39" i="28" s="1"/>
  <c r="P39" i="28" s="1"/>
  <c r="Q39" i="28" s="1"/>
  <c r="M38" i="28"/>
  <c r="N38" i="28" s="1"/>
  <c r="P38" i="28" s="1"/>
  <c r="Q38" i="28" s="1"/>
  <c r="M37" i="28"/>
  <c r="N37" i="28" s="1"/>
  <c r="P37" i="28" s="1"/>
  <c r="Q37" i="28" s="1"/>
  <c r="M33" i="28"/>
  <c r="N33" i="28" s="1"/>
  <c r="P33" i="28" s="1"/>
  <c r="Q33" i="28" s="1"/>
  <c r="M32" i="28"/>
  <c r="N32" i="28" s="1"/>
  <c r="P32" i="28" s="1"/>
  <c r="Q32" i="28" s="1"/>
  <c r="M31" i="28"/>
  <c r="N31" i="28" s="1"/>
  <c r="P31" i="28" s="1"/>
  <c r="Q31" i="28" s="1"/>
  <c r="M30" i="28"/>
  <c r="N30" i="28" s="1"/>
  <c r="P30" i="28" s="1"/>
  <c r="Q30" i="28" s="1"/>
  <c r="M29" i="28"/>
  <c r="N29" i="28" s="1"/>
  <c r="P29" i="28" s="1"/>
  <c r="Q29" i="28" s="1"/>
  <c r="K15" i="29"/>
  <c r="K10" i="29"/>
  <c r="B10" i="29"/>
  <c r="E9" i="29"/>
  <c r="P9" i="29" s="1"/>
  <c r="B9" i="29"/>
  <c r="P8" i="29"/>
  <c r="E8" i="29"/>
  <c r="D9" i="29" s="1"/>
  <c r="B8" i="29"/>
  <c r="P7" i="29"/>
  <c r="E7" i="29"/>
  <c r="D8" i="29" s="1"/>
  <c r="B7" i="29"/>
  <c r="E6" i="29"/>
  <c r="P6" i="29" s="1"/>
  <c r="B6" i="29"/>
  <c r="E5" i="29"/>
  <c r="D6" i="29" s="1"/>
  <c r="B5" i="29"/>
  <c r="E4" i="29"/>
  <c r="D5" i="29" s="1"/>
  <c r="F23" i="28"/>
  <c r="V23" i="28" s="1"/>
  <c r="C23" i="28"/>
  <c r="F22" i="28"/>
  <c r="E23" i="28" s="1"/>
  <c r="C22" i="28"/>
  <c r="F21" i="28"/>
  <c r="V21" i="28" s="1"/>
  <c r="C21" i="28"/>
  <c r="F20" i="28"/>
  <c r="E21" i="28" s="1"/>
  <c r="C20" i="28"/>
  <c r="F19" i="28"/>
  <c r="V19" i="28" s="1"/>
  <c r="C19" i="28"/>
  <c r="F18" i="28"/>
  <c r="E19" i="28" s="1"/>
  <c r="C18" i="28"/>
  <c r="F17" i="28"/>
  <c r="V17" i="28" s="1"/>
  <c r="C17" i="28"/>
  <c r="F16" i="28"/>
  <c r="E17" i="28" s="1"/>
  <c r="C16" i="28"/>
  <c r="F15" i="28"/>
  <c r="V15" i="28" s="1"/>
  <c r="C15" i="28"/>
  <c r="F14" i="28"/>
  <c r="E15" i="28" s="1"/>
  <c r="F13" i="28"/>
  <c r="E14" i="28" s="1"/>
  <c r="F12" i="28"/>
  <c r="V12" i="28" s="1"/>
  <c r="F11" i="28"/>
  <c r="E12" i="28" s="1"/>
  <c r="Q7" i="28"/>
  <c r="C7" i="28"/>
  <c r="C6" i="28"/>
  <c r="G6" i="28" s="1"/>
  <c r="C5" i="28"/>
  <c r="G5" i="28" s="1"/>
  <c r="G4" i="28"/>
  <c r="Q4" i="28" s="1"/>
  <c r="G3" i="28"/>
  <c r="Q3" i="28" s="1"/>
  <c r="L37" i="27"/>
  <c r="F36" i="27"/>
  <c r="E37" i="27" s="1"/>
  <c r="P37" i="27" s="1"/>
  <c r="F35" i="27"/>
  <c r="E36" i="27" s="1"/>
  <c r="F34" i="27"/>
  <c r="E35" i="27" s="1"/>
  <c r="F33" i="27"/>
  <c r="E34" i="27" s="1"/>
  <c r="F32" i="27"/>
  <c r="E33" i="27" s="1"/>
  <c r="F31" i="27"/>
  <c r="E32" i="27" s="1"/>
  <c r="F30" i="27"/>
  <c r="E31" i="27" s="1"/>
  <c r="F29" i="27"/>
  <c r="E30" i="27" s="1"/>
  <c r="F28" i="27"/>
  <c r="E29" i="27" s="1"/>
  <c r="F27" i="27"/>
  <c r="E28" i="27" s="1"/>
  <c r="F26" i="27"/>
  <c r="E27" i="27" s="1"/>
  <c r="F25" i="27"/>
  <c r="E26" i="27" s="1"/>
  <c r="F24" i="27"/>
  <c r="E25" i="27" s="1"/>
  <c r="F23" i="27"/>
  <c r="E24" i="27" s="1"/>
  <c r="L18" i="27"/>
  <c r="F17" i="27"/>
  <c r="Q17" i="27" s="1"/>
  <c r="E17" i="27"/>
  <c r="P17" i="27" s="1"/>
  <c r="F16" i="27"/>
  <c r="Q16" i="27" s="1"/>
  <c r="F15" i="27"/>
  <c r="Q15" i="27" s="1"/>
  <c r="E15" i="27"/>
  <c r="P15" i="27" s="1"/>
  <c r="F14" i="27"/>
  <c r="Q14" i="27" s="1"/>
  <c r="F13" i="27"/>
  <c r="Q13" i="27" s="1"/>
  <c r="E13" i="27"/>
  <c r="P13" i="27" s="1"/>
  <c r="F12" i="27"/>
  <c r="Q12" i="27" s="1"/>
  <c r="F11" i="27"/>
  <c r="Q11" i="27" s="1"/>
  <c r="E11" i="27"/>
  <c r="P11" i="27" s="1"/>
  <c r="F10" i="27"/>
  <c r="Q10" i="27" s="1"/>
  <c r="F9" i="27"/>
  <c r="Q9" i="27" s="1"/>
  <c r="E9" i="27"/>
  <c r="P9" i="27" s="1"/>
  <c r="F8" i="27"/>
  <c r="Q8" i="27" s="1"/>
  <c r="F7" i="27"/>
  <c r="Q7" i="27" s="1"/>
  <c r="E7" i="27"/>
  <c r="P7" i="27" s="1"/>
  <c r="F6" i="27"/>
  <c r="Q6" i="27" s="1"/>
  <c r="F5" i="27"/>
  <c r="Q5" i="27" s="1"/>
  <c r="E5" i="27"/>
  <c r="P5" i="27" s="1"/>
  <c r="F4" i="27"/>
  <c r="Q4" i="27" s="1"/>
  <c r="L37" i="26"/>
  <c r="F36" i="26"/>
  <c r="E37" i="26" s="1"/>
  <c r="P37" i="26" s="1"/>
  <c r="F35" i="26"/>
  <c r="E36" i="26" s="1"/>
  <c r="F34" i="26"/>
  <c r="E35" i="26" s="1"/>
  <c r="F33" i="26"/>
  <c r="E34" i="26" s="1"/>
  <c r="F32" i="26"/>
  <c r="E33" i="26" s="1"/>
  <c r="F31" i="26"/>
  <c r="E32" i="26" s="1"/>
  <c r="F30" i="26"/>
  <c r="E31" i="26" s="1"/>
  <c r="F29" i="26"/>
  <c r="E30" i="26" s="1"/>
  <c r="F28" i="26"/>
  <c r="E29" i="26" s="1"/>
  <c r="F27" i="26"/>
  <c r="E28" i="26" s="1"/>
  <c r="F26" i="26"/>
  <c r="E27" i="26" s="1"/>
  <c r="F25" i="26"/>
  <c r="E26" i="26" s="1"/>
  <c r="F24" i="26"/>
  <c r="E25" i="26" s="1"/>
  <c r="F23" i="26"/>
  <c r="E24" i="26" s="1"/>
  <c r="L18" i="26"/>
  <c r="F17" i="26"/>
  <c r="Q17" i="26" s="1"/>
  <c r="F16" i="26"/>
  <c r="Q16" i="26" s="1"/>
  <c r="E16" i="26"/>
  <c r="P16" i="26" s="1"/>
  <c r="F15" i="26"/>
  <c r="Q15" i="26" s="1"/>
  <c r="F14" i="26"/>
  <c r="Q14" i="26" s="1"/>
  <c r="F13" i="26"/>
  <c r="Q13" i="26" s="1"/>
  <c r="F12" i="26"/>
  <c r="Q12" i="26" s="1"/>
  <c r="F11" i="26"/>
  <c r="Q11" i="26" s="1"/>
  <c r="F10" i="26"/>
  <c r="Q10" i="26" s="1"/>
  <c r="F9" i="26"/>
  <c r="Q9" i="26" s="1"/>
  <c r="F8" i="26"/>
  <c r="Q8" i="26" s="1"/>
  <c r="F7" i="26"/>
  <c r="Q7" i="26" s="1"/>
  <c r="F6" i="26"/>
  <c r="Q6" i="26" s="1"/>
  <c r="F5" i="26"/>
  <c r="Q5" i="26" s="1"/>
  <c r="F4" i="26"/>
  <c r="Q4" i="26" s="1"/>
  <c r="N109" i="27" l="1"/>
  <c r="P109" i="27" s="1"/>
  <c r="Q109" i="27" s="1"/>
  <c r="N110" i="27"/>
  <c r="P110" i="27" s="1"/>
  <c r="Q110" i="27" s="1"/>
  <c r="N111" i="27"/>
  <c r="P111" i="27" s="1"/>
  <c r="Q111" i="27" s="1"/>
  <c r="N112" i="27"/>
  <c r="P112" i="27" s="1"/>
  <c r="Q112" i="27" s="1"/>
  <c r="N113" i="27"/>
  <c r="P113" i="27" s="1"/>
  <c r="Q113" i="27" s="1"/>
  <c r="N117" i="27"/>
  <c r="P117" i="27" s="1"/>
  <c r="Q117" i="27" s="1"/>
  <c r="N118" i="27"/>
  <c r="P118" i="27" s="1"/>
  <c r="Q118" i="27" s="1"/>
  <c r="N119" i="27"/>
  <c r="P119" i="27" s="1"/>
  <c r="Q119" i="27" s="1"/>
  <c r="N120" i="27"/>
  <c r="P120" i="27" s="1"/>
  <c r="Q120" i="27" s="1"/>
  <c r="N121" i="27"/>
  <c r="P121" i="27" s="1"/>
  <c r="Q121" i="27" s="1"/>
  <c r="N43" i="26"/>
  <c r="P43" i="26" s="1"/>
  <c r="Q43" i="26" s="1"/>
  <c r="N44" i="26"/>
  <c r="P44" i="26" s="1"/>
  <c r="Q44" i="26" s="1"/>
  <c r="N46" i="26"/>
  <c r="P46" i="26" s="1"/>
  <c r="Q46" i="26" s="1"/>
  <c r="N47" i="26"/>
  <c r="P47" i="26" s="1"/>
  <c r="Q47" i="26" s="1"/>
  <c r="N52" i="26"/>
  <c r="P52" i="26" s="1"/>
  <c r="Q52" i="26" s="1"/>
  <c r="N55" i="26"/>
  <c r="P55" i="26" s="1"/>
  <c r="Q55" i="26" s="1"/>
  <c r="N45" i="26"/>
  <c r="P45" i="26" s="1"/>
  <c r="Q45" i="26" s="1"/>
  <c r="N51" i="26"/>
  <c r="P51" i="26" s="1"/>
  <c r="Q51" i="26" s="1"/>
  <c r="N53" i="26"/>
  <c r="P53" i="26" s="1"/>
  <c r="Q53" i="26" s="1"/>
  <c r="N54" i="26"/>
  <c r="P54" i="26" s="1"/>
  <c r="Q54" i="26" s="1"/>
  <c r="E14" i="26"/>
  <c r="P14" i="26" s="1"/>
  <c r="N91" i="27"/>
  <c r="P91" i="27" s="1"/>
  <c r="Q91" i="27" s="1"/>
  <c r="N93" i="27"/>
  <c r="P93" i="27" s="1"/>
  <c r="Q93" i="27" s="1"/>
  <c r="N99" i="27"/>
  <c r="P99" i="27" s="1"/>
  <c r="Q99" i="27" s="1"/>
  <c r="N103" i="27"/>
  <c r="P103" i="27" s="1"/>
  <c r="Q103" i="27" s="1"/>
  <c r="N92" i="27"/>
  <c r="P92" i="27" s="1"/>
  <c r="Q92" i="27" s="1"/>
  <c r="N94" i="27"/>
  <c r="P94" i="27" s="1"/>
  <c r="Q94" i="27" s="1"/>
  <c r="N95" i="27"/>
  <c r="P95" i="27" s="1"/>
  <c r="Q95" i="27" s="1"/>
  <c r="N100" i="27"/>
  <c r="P100" i="27" s="1"/>
  <c r="Q100" i="27" s="1"/>
  <c r="N101" i="27"/>
  <c r="P101" i="27" s="1"/>
  <c r="Q101" i="27" s="1"/>
  <c r="N102" i="27"/>
  <c r="P102" i="27" s="1"/>
  <c r="Q102" i="27" s="1"/>
  <c r="N57" i="28"/>
  <c r="N58" i="28"/>
  <c r="N59" i="28"/>
  <c r="N60" i="28"/>
  <c r="N61" i="28"/>
  <c r="N65" i="28"/>
  <c r="N66" i="28"/>
  <c r="N67" i="28"/>
  <c r="N69" i="28"/>
  <c r="N68" i="28"/>
  <c r="N82" i="27"/>
  <c r="P82" i="27" s="1"/>
  <c r="Q82" i="27" s="1"/>
  <c r="N85" i="27"/>
  <c r="P85" i="27" s="1"/>
  <c r="Q85" i="27" s="1"/>
  <c r="N81" i="27"/>
  <c r="P81" i="27" s="1"/>
  <c r="Q81" i="27" s="1"/>
  <c r="N83" i="27"/>
  <c r="P83" i="27" s="1"/>
  <c r="Q83" i="27" s="1"/>
  <c r="N84" i="27"/>
  <c r="P84" i="27" s="1"/>
  <c r="Q84" i="27" s="1"/>
  <c r="N47" i="28"/>
  <c r="N48" i="28"/>
  <c r="N49" i="28"/>
  <c r="N50" i="28"/>
  <c r="N51" i="28"/>
  <c r="N62" i="27"/>
  <c r="P62" i="27" s="1"/>
  <c r="Q62" i="27" s="1"/>
  <c r="N63" i="27"/>
  <c r="P63" i="27" s="1"/>
  <c r="Q63" i="27" s="1"/>
  <c r="N64" i="27"/>
  <c r="P64" i="27" s="1"/>
  <c r="Q64" i="27" s="1"/>
  <c r="N65" i="27"/>
  <c r="P65" i="27" s="1"/>
  <c r="Q65" i="27" s="1"/>
  <c r="N66" i="27"/>
  <c r="P66" i="27" s="1"/>
  <c r="Q66" i="27" s="1"/>
  <c r="N71" i="27"/>
  <c r="P71" i="27" s="1"/>
  <c r="Q71" i="27" s="1"/>
  <c r="N72" i="27"/>
  <c r="P72" i="27" s="1"/>
  <c r="Q72" i="27" s="1"/>
  <c r="N73" i="27"/>
  <c r="P73" i="27" s="1"/>
  <c r="Q73" i="27" s="1"/>
  <c r="N74" i="27"/>
  <c r="P74" i="27" s="1"/>
  <c r="Q74" i="27" s="1"/>
  <c r="N75" i="27"/>
  <c r="P75" i="27" s="1"/>
  <c r="Q75" i="27" s="1"/>
  <c r="E6" i="27"/>
  <c r="P6" i="27" s="1"/>
  <c r="E8" i="27"/>
  <c r="P8" i="27" s="1"/>
  <c r="E10" i="27"/>
  <c r="P10" i="27" s="1"/>
  <c r="E12" i="27"/>
  <c r="P12" i="27" s="1"/>
  <c r="E14" i="27"/>
  <c r="P14" i="27" s="1"/>
  <c r="E16" i="27"/>
  <c r="P16" i="27" s="1"/>
  <c r="E18" i="27"/>
  <c r="P18" i="27" s="1"/>
  <c r="N43" i="27"/>
  <c r="N45" i="27"/>
  <c r="N52" i="27"/>
  <c r="N56" i="27"/>
  <c r="N44" i="27"/>
  <c r="N46" i="27"/>
  <c r="N47" i="27"/>
  <c r="N53" i="27"/>
  <c r="N54" i="27"/>
  <c r="N55" i="27"/>
  <c r="V16" i="28"/>
  <c r="O5" i="29"/>
  <c r="F5" i="29"/>
  <c r="K5" i="29" s="1"/>
  <c r="O6" i="29"/>
  <c r="F6" i="29"/>
  <c r="K6" i="29" s="1"/>
  <c r="O8" i="29"/>
  <c r="F8" i="29"/>
  <c r="K8" i="29" s="1"/>
  <c r="O9" i="29"/>
  <c r="F9" i="29"/>
  <c r="K9" i="29" s="1"/>
  <c r="N15" i="29"/>
  <c r="D10" i="29"/>
  <c r="O10" i="29" s="1"/>
  <c r="F4" i="29"/>
  <c r="K4" i="29" s="1"/>
  <c r="P4" i="29"/>
  <c r="D7" i="29"/>
  <c r="P5" i="29"/>
  <c r="M10" i="29"/>
  <c r="N10" i="29" s="1"/>
  <c r="M15" i="29"/>
  <c r="V13" i="28"/>
  <c r="V18" i="28"/>
  <c r="V20" i="28"/>
  <c r="V14" i="28"/>
  <c r="V22" i="28"/>
  <c r="U12" i="28"/>
  <c r="G12" i="28"/>
  <c r="Q6" i="28"/>
  <c r="R4" i="28"/>
  <c r="S4" i="28" s="1"/>
  <c r="T4" i="28" s="1"/>
  <c r="G14" i="28"/>
  <c r="U14" i="28"/>
  <c r="U19" i="28"/>
  <c r="G19" i="28"/>
  <c r="G15" i="28"/>
  <c r="U15" i="28"/>
  <c r="G23" i="28"/>
  <c r="U23" i="28"/>
  <c r="R3" i="28"/>
  <c r="S3" i="28" s="1"/>
  <c r="T3" i="28" s="1"/>
  <c r="G17" i="28"/>
  <c r="U17" i="28"/>
  <c r="U21" i="28"/>
  <c r="G21" i="28"/>
  <c r="R7" i="28"/>
  <c r="S7" i="28" s="1"/>
  <c r="T7" i="28" s="1"/>
  <c r="G11" i="28"/>
  <c r="E20" i="28"/>
  <c r="V11" i="28"/>
  <c r="E13" i="28"/>
  <c r="Q5" i="28"/>
  <c r="E16" i="28"/>
  <c r="E18" i="28"/>
  <c r="E22" i="28"/>
  <c r="P25" i="27"/>
  <c r="G25" i="27"/>
  <c r="L25" i="27" s="1"/>
  <c r="P29" i="27"/>
  <c r="G29" i="27"/>
  <c r="L29" i="27" s="1"/>
  <c r="P33" i="27"/>
  <c r="G33" i="27"/>
  <c r="L33" i="27" s="1"/>
  <c r="P26" i="27"/>
  <c r="G26" i="27"/>
  <c r="L26" i="27" s="1"/>
  <c r="P30" i="27"/>
  <c r="G30" i="27"/>
  <c r="L30" i="27" s="1"/>
  <c r="P34" i="27"/>
  <c r="G34" i="27"/>
  <c r="L34" i="27" s="1"/>
  <c r="P27" i="27"/>
  <c r="G27" i="27"/>
  <c r="L27" i="27" s="1"/>
  <c r="P31" i="27"/>
  <c r="G31" i="27"/>
  <c r="L31" i="27" s="1"/>
  <c r="P35" i="27"/>
  <c r="G35" i="27"/>
  <c r="L35" i="27" s="1"/>
  <c r="P24" i="27"/>
  <c r="G24" i="27"/>
  <c r="L24" i="27" s="1"/>
  <c r="P28" i="27"/>
  <c r="G28" i="27"/>
  <c r="L28" i="27" s="1"/>
  <c r="P32" i="27"/>
  <c r="G32" i="27"/>
  <c r="L32" i="27" s="1"/>
  <c r="P36" i="27"/>
  <c r="G36" i="27"/>
  <c r="L36" i="27" s="1"/>
  <c r="N37" i="27"/>
  <c r="O37" i="27" s="1"/>
  <c r="G5" i="27"/>
  <c r="L5" i="27" s="1"/>
  <c r="G6" i="27"/>
  <c r="L6" i="27" s="1"/>
  <c r="G7" i="27"/>
  <c r="L7" i="27" s="1"/>
  <c r="G8" i="27"/>
  <c r="L8" i="27" s="1"/>
  <c r="G9" i="27"/>
  <c r="L9" i="27" s="1"/>
  <c r="G11" i="27"/>
  <c r="L11" i="27" s="1"/>
  <c r="G13" i="27"/>
  <c r="L13" i="27" s="1"/>
  <c r="G14" i="27"/>
  <c r="L14" i="27" s="1"/>
  <c r="G15" i="27"/>
  <c r="L15" i="27" s="1"/>
  <c r="G16" i="27"/>
  <c r="L16" i="27" s="1"/>
  <c r="G17" i="27"/>
  <c r="L17" i="27" s="1"/>
  <c r="N18" i="27"/>
  <c r="O18" i="27" s="1"/>
  <c r="G23" i="27"/>
  <c r="L23" i="27" s="1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G4" i="27"/>
  <c r="L4" i="27" s="1"/>
  <c r="E17" i="26"/>
  <c r="P17" i="26" s="1"/>
  <c r="E7" i="26"/>
  <c r="P7" i="26" s="1"/>
  <c r="E9" i="26"/>
  <c r="P9" i="26" s="1"/>
  <c r="E11" i="26"/>
  <c r="P11" i="26" s="1"/>
  <c r="E13" i="26"/>
  <c r="P13" i="26" s="1"/>
  <c r="E15" i="26"/>
  <c r="P15" i="26" s="1"/>
  <c r="E6" i="26"/>
  <c r="P6" i="26" s="1"/>
  <c r="E8" i="26"/>
  <c r="P8" i="26" s="1"/>
  <c r="E10" i="26"/>
  <c r="P10" i="26" s="1"/>
  <c r="E12" i="26"/>
  <c r="P12" i="26" s="1"/>
  <c r="E18" i="26"/>
  <c r="P18" i="26" s="1"/>
  <c r="P35" i="26"/>
  <c r="G35" i="26"/>
  <c r="L35" i="26" s="1"/>
  <c r="P24" i="26"/>
  <c r="G24" i="26"/>
  <c r="L24" i="26" s="1"/>
  <c r="P28" i="26"/>
  <c r="G28" i="26"/>
  <c r="L28" i="26" s="1"/>
  <c r="P32" i="26"/>
  <c r="G32" i="26"/>
  <c r="L32" i="26" s="1"/>
  <c r="P36" i="26"/>
  <c r="G36" i="26"/>
  <c r="L36" i="26" s="1"/>
  <c r="P31" i="26"/>
  <c r="G31" i="26"/>
  <c r="L31" i="26" s="1"/>
  <c r="P25" i="26"/>
  <c r="G25" i="26"/>
  <c r="L25" i="26" s="1"/>
  <c r="P29" i="26"/>
  <c r="G29" i="26"/>
  <c r="L29" i="26" s="1"/>
  <c r="P33" i="26"/>
  <c r="G33" i="26"/>
  <c r="L33" i="26" s="1"/>
  <c r="P27" i="26"/>
  <c r="G27" i="26"/>
  <c r="L27" i="26" s="1"/>
  <c r="P26" i="26"/>
  <c r="G26" i="26"/>
  <c r="L26" i="26" s="1"/>
  <c r="P30" i="26"/>
  <c r="G30" i="26"/>
  <c r="L30" i="26" s="1"/>
  <c r="P34" i="26"/>
  <c r="G34" i="26"/>
  <c r="L34" i="26" s="1"/>
  <c r="E5" i="26"/>
  <c r="N37" i="26"/>
  <c r="O37" i="26" s="1"/>
  <c r="G10" i="26"/>
  <c r="L10" i="26" s="1"/>
  <c r="G12" i="26"/>
  <c r="L12" i="26" s="1"/>
  <c r="G13" i="26"/>
  <c r="L13" i="26" s="1"/>
  <c r="G14" i="26"/>
  <c r="L14" i="26" s="1"/>
  <c r="G15" i="26"/>
  <c r="L15" i="26" s="1"/>
  <c r="G16" i="26"/>
  <c r="L16" i="26" s="1"/>
  <c r="G17" i="26"/>
  <c r="L17" i="26" s="1"/>
  <c r="N18" i="26"/>
  <c r="O18" i="26" s="1"/>
  <c r="G23" i="26"/>
  <c r="L23" i="26" s="1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G4" i="26"/>
  <c r="L4" i="26" s="1"/>
  <c r="G9" i="26" l="1"/>
  <c r="L9" i="26" s="1"/>
  <c r="G7" i="26"/>
  <c r="L7" i="26" s="1"/>
  <c r="P67" i="28"/>
  <c r="Q67" i="28" s="1"/>
  <c r="P66" i="28"/>
  <c r="Q66" i="28" s="1"/>
  <c r="P68" i="28"/>
  <c r="Q68" i="28" s="1"/>
  <c r="P65" i="28"/>
  <c r="Q65" i="28" s="1"/>
  <c r="P69" i="28"/>
  <c r="Q69" i="28" s="1"/>
  <c r="Q61" i="28"/>
  <c r="P61" i="28"/>
  <c r="P60" i="28"/>
  <c r="Q60" i="28" s="1"/>
  <c r="P59" i="28"/>
  <c r="Q59" i="28" s="1"/>
  <c r="Q58" i="28"/>
  <c r="P58" i="28"/>
  <c r="P57" i="28"/>
  <c r="Q57" i="28" s="1"/>
  <c r="P51" i="28"/>
  <c r="Q51" i="28" s="1"/>
  <c r="P50" i="28"/>
  <c r="Q50" i="28" s="1"/>
  <c r="P49" i="28"/>
  <c r="Q49" i="28" s="1"/>
  <c r="P48" i="28"/>
  <c r="Q48" i="28" s="1"/>
  <c r="P47" i="28"/>
  <c r="Q47" i="28" s="1"/>
  <c r="P52" i="27"/>
  <c r="Q52" i="27" s="1"/>
  <c r="P55" i="27"/>
  <c r="Q55" i="27" s="1"/>
  <c r="P54" i="27"/>
  <c r="Q54" i="27" s="1"/>
  <c r="P53" i="27"/>
  <c r="Q53" i="27" s="1"/>
  <c r="P56" i="27"/>
  <c r="Q56" i="27" s="1"/>
  <c r="P47" i="27"/>
  <c r="Q47" i="27" s="1"/>
  <c r="P46" i="27"/>
  <c r="Q46" i="27" s="1"/>
  <c r="P45" i="27"/>
  <c r="Q45" i="27" s="1"/>
  <c r="P44" i="27"/>
  <c r="Q44" i="27" s="1"/>
  <c r="P43" i="27"/>
  <c r="Q43" i="27" s="1"/>
  <c r="G12" i="27"/>
  <c r="L12" i="27" s="1"/>
  <c r="G10" i="27"/>
  <c r="L10" i="27" s="1"/>
  <c r="M4" i="29"/>
  <c r="N4" i="29"/>
  <c r="M6" i="29"/>
  <c r="N6" i="29" s="1"/>
  <c r="O7" i="29"/>
  <c r="F7" i="29"/>
  <c r="K7" i="29" s="1"/>
  <c r="M8" i="29"/>
  <c r="N8" i="29" s="1"/>
  <c r="M5" i="29"/>
  <c r="N5" i="29"/>
  <c r="M9" i="29"/>
  <c r="N9" i="29"/>
  <c r="R5" i="28"/>
  <c r="S5" i="28" s="1"/>
  <c r="T5" i="28" s="1"/>
  <c r="Q11" i="28"/>
  <c r="Q15" i="28"/>
  <c r="G22" i="28"/>
  <c r="U22" i="28"/>
  <c r="U13" i="28"/>
  <c r="G13" i="28"/>
  <c r="Q14" i="28"/>
  <c r="R6" i="28"/>
  <c r="S6" i="28" s="1"/>
  <c r="T6" i="28" s="1"/>
  <c r="G18" i="28"/>
  <c r="U18" i="28"/>
  <c r="Q21" i="28"/>
  <c r="Q17" i="28"/>
  <c r="Q23" i="28"/>
  <c r="Q19" i="28"/>
  <c r="Q12" i="28"/>
  <c r="G16" i="28"/>
  <c r="U16" i="28"/>
  <c r="G20" i="28"/>
  <c r="U20" i="28"/>
  <c r="N23" i="27"/>
  <c r="O23" i="27"/>
  <c r="N7" i="27"/>
  <c r="O7" i="27"/>
  <c r="N28" i="27"/>
  <c r="O28" i="27"/>
  <c r="N35" i="27"/>
  <c r="O35" i="27"/>
  <c r="N26" i="27"/>
  <c r="O26" i="27"/>
  <c r="N4" i="27"/>
  <c r="O4" i="27" s="1"/>
  <c r="N14" i="27"/>
  <c r="O14" i="27" s="1"/>
  <c r="N6" i="27"/>
  <c r="O6" i="27" s="1"/>
  <c r="N15" i="27"/>
  <c r="O15" i="27" s="1"/>
  <c r="N29" i="27"/>
  <c r="O29" i="27" s="1"/>
  <c r="N17" i="27"/>
  <c r="O17" i="27" s="1"/>
  <c r="N13" i="27"/>
  <c r="O13" i="27"/>
  <c r="N9" i="27"/>
  <c r="O9" i="27" s="1"/>
  <c r="N5" i="27"/>
  <c r="O5" i="27"/>
  <c r="N32" i="27"/>
  <c r="O32" i="27" s="1"/>
  <c r="N24" i="27"/>
  <c r="O24" i="27"/>
  <c r="N31" i="27"/>
  <c r="O31" i="27" s="1"/>
  <c r="N30" i="27"/>
  <c r="O30" i="27"/>
  <c r="N33" i="27"/>
  <c r="O33" i="27" s="1"/>
  <c r="N25" i="27"/>
  <c r="O25" i="27"/>
  <c r="N11" i="27"/>
  <c r="O11" i="27" s="1"/>
  <c r="N36" i="27"/>
  <c r="O36" i="27"/>
  <c r="N27" i="27"/>
  <c r="O27" i="27"/>
  <c r="N34" i="27"/>
  <c r="O34" i="27"/>
  <c r="N10" i="27"/>
  <c r="O10" i="27"/>
  <c r="N16" i="27"/>
  <c r="O16" i="27" s="1"/>
  <c r="N12" i="27"/>
  <c r="O12" i="27"/>
  <c r="N8" i="27"/>
  <c r="O8" i="27" s="1"/>
  <c r="G8" i="26"/>
  <c r="L8" i="26" s="1"/>
  <c r="G11" i="26"/>
  <c r="L11" i="26" s="1"/>
  <c r="G6" i="26"/>
  <c r="L6" i="26" s="1"/>
  <c r="O23" i="26"/>
  <c r="N23" i="26"/>
  <c r="N11" i="26"/>
  <c r="O11" i="26" s="1"/>
  <c r="N24" i="26"/>
  <c r="O24" i="26" s="1"/>
  <c r="N4" i="26"/>
  <c r="O4" i="26" s="1"/>
  <c r="N14" i="26"/>
  <c r="O14" i="26" s="1"/>
  <c r="N10" i="26"/>
  <c r="O10" i="26" s="1"/>
  <c r="N34" i="26"/>
  <c r="O34" i="26"/>
  <c r="N26" i="26"/>
  <c r="O26" i="26" s="1"/>
  <c r="N33" i="26"/>
  <c r="O33" i="26"/>
  <c r="N25" i="26"/>
  <c r="O25" i="26" s="1"/>
  <c r="N15" i="26"/>
  <c r="O15" i="26" s="1"/>
  <c r="N7" i="26"/>
  <c r="O7" i="26" s="1"/>
  <c r="N17" i="26"/>
  <c r="O17" i="26" s="1"/>
  <c r="O13" i="26"/>
  <c r="N13" i="26"/>
  <c r="N9" i="26"/>
  <c r="O9" i="26" s="1"/>
  <c r="N36" i="26"/>
  <c r="O36" i="26" s="1"/>
  <c r="N28" i="26"/>
  <c r="O28" i="26" s="1"/>
  <c r="N35" i="26"/>
  <c r="O35" i="26" s="1"/>
  <c r="N32" i="26"/>
  <c r="O32" i="26" s="1"/>
  <c r="N16" i="26"/>
  <c r="O16" i="26" s="1"/>
  <c r="N12" i="26"/>
  <c r="O12" i="26" s="1"/>
  <c r="O8" i="26"/>
  <c r="N8" i="26"/>
  <c r="P5" i="26"/>
  <c r="G5" i="26"/>
  <c r="L5" i="26" s="1"/>
  <c r="N30" i="26"/>
  <c r="O30" i="26" s="1"/>
  <c r="N27" i="26"/>
  <c r="O27" i="26"/>
  <c r="N29" i="26"/>
  <c r="O29" i="26" s="1"/>
  <c r="N31" i="26"/>
  <c r="O31" i="26" s="1"/>
  <c r="M7" i="29" l="1"/>
  <c r="N7" i="29" s="1"/>
  <c r="Q16" i="28"/>
  <c r="R19" i="28"/>
  <c r="S19" i="28" s="1"/>
  <c r="T19" i="28" s="1"/>
  <c r="R17" i="28"/>
  <c r="S17" i="28" s="1"/>
  <c r="T17" i="28" s="1"/>
  <c r="Q18" i="28"/>
  <c r="R11" i="28"/>
  <c r="S11" i="28" s="1"/>
  <c r="T11" i="28" s="1"/>
  <c r="R23" i="28"/>
  <c r="S23" i="28" s="1"/>
  <c r="T23" i="28"/>
  <c r="R21" i="28"/>
  <c r="S21" i="28" s="1"/>
  <c r="T21" i="28" s="1"/>
  <c r="Q13" i="28"/>
  <c r="R15" i="28"/>
  <c r="S15" i="28" s="1"/>
  <c r="T15" i="28" s="1"/>
  <c r="R14" i="28"/>
  <c r="S14" i="28" s="1"/>
  <c r="T14" i="28" s="1"/>
  <c r="Q22" i="28"/>
  <c r="Q20" i="28"/>
  <c r="R12" i="28"/>
  <c r="S12" i="28" s="1"/>
  <c r="T12" i="28" s="1"/>
  <c r="N6" i="26"/>
  <c r="O6" i="26" s="1"/>
  <c r="N5" i="26"/>
  <c r="O5" i="26" s="1"/>
  <c r="R20" i="28" l="1"/>
  <c r="S20" i="28" s="1"/>
  <c r="T20" i="28" s="1"/>
  <c r="R13" i="28"/>
  <c r="S13" i="28" s="1"/>
  <c r="T13" i="28" s="1"/>
  <c r="R18" i="28"/>
  <c r="S18" i="28" s="1"/>
  <c r="T18" i="28" s="1"/>
  <c r="R22" i="28"/>
  <c r="S22" i="28" s="1"/>
  <c r="T22" i="28" s="1"/>
  <c r="R16" i="28"/>
  <c r="S16" i="28" s="1"/>
  <c r="T16" i="28" s="1"/>
  <c r="Q74" i="18"/>
  <c r="M75" i="18"/>
  <c r="M74" i="18"/>
  <c r="M73" i="18"/>
  <c r="M72" i="18"/>
  <c r="M71" i="18"/>
  <c r="N308" i="20"/>
  <c r="N307" i="20"/>
  <c r="N306" i="20"/>
  <c r="N305" i="20"/>
  <c r="N304" i="20"/>
  <c r="N300" i="20"/>
  <c r="N299" i="20"/>
  <c r="N298" i="20"/>
  <c r="N297" i="20"/>
  <c r="N296" i="20"/>
  <c r="N291" i="20"/>
  <c r="N290" i="20"/>
  <c r="N289" i="20"/>
  <c r="N288" i="20"/>
  <c r="N287" i="20"/>
  <c r="N283" i="20"/>
  <c r="N282" i="20"/>
  <c r="N281" i="20"/>
  <c r="N280" i="20"/>
  <c r="N279" i="20"/>
  <c r="M412" i="19"/>
  <c r="M411" i="19"/>
  <c r="M410" i="19"/>
  <c r="M409" i="19"/>
  <c r="M408" i="19"/>
  <c r="M404" i="19"/>
  <c r="M403" i="19"/>
  <c r="M402" i="19"/>
  <c r="M401" i="19"/>
  <c r="M395" i="19"/>
  <c r="M394" i="19"/>
  <c r="M393" i="19"/>
  <c r="M392" i="19"/>
  <c r="M391" i="19"/>
  <c r="M387" i="19"/>
  <c r="M386" i="19"/>
  <c r="M385" i="19"/>
  <c r="M384" i="19"/>
  <c r="M383" i="19"/>
  <c r="N55" i="18"/>
  <c r="N56" i="18"/>
  <c r="N57" i="18"/>
  <c r="N58" i="18"/>
  <c r="N62" i="18"/>
  <c r="M63" i="18"/>
  <c r="M64" i="18"/>
  <c r="M65" i="18"/>
  <c r="M66" i="18"/>
  <c r="M62" i="18"/>
  <c r="M55" i="18"/>
  <c r="M56" i="18"/>
  <c r="M57" i="18"/>
  <c r="M58" i="18"/>
  <c r="M54" i="18"/>
  <c r="N54" i="18" s="1"/>
  <c r="N53" i="19"/>
  <c r="M50" i="19"/>
  <c r="N50" i="19" s="1"/>
  <c r="M51" i="19"/>
  <c r="N51" i="19" s="1"/>
  <c r="M52" i="19"/>
  <c r="N52" i="19" s="1"/>
  <c r="M53" i="19"/>
  <c r="M49" i="19"/>
  <c r="N49" i="19" s="1"/>
  <c r="M41" i="19"/>
  <c r="N41" i="19" s="1"/>
  <c r="M42" i="19"/>
  <c r="N42" i="19" s="1"/>
  <c r="M43" i="19"/>
  <c r="N43" i="19" s="1"/>
  <c r="M44" i="19"/>
  <c r="N44" i="19" s="1"/>
  <c r="M40" i="19"/>
  <c r="N40" i="19" s="1"/>
  <c r="N32" i="19"/>
  <c r="N34" i="19"/>
  <c r="N31" i="19"/>
  <c r="M32" i="19"/>
  <c r="M33" i="19"/>
  <c r="N33" i="19" s="1"/>
  <c r="M34" i="19"/>
  <c r="M35" i="19"/>
  <c r="N35" i="19" s="1"/>
  <c r="M31" i="19"/>
  <c r="H149" i="16"/>
  <c r="I149" i="16" s="1"/>
  <c r="Q72" i="18" l="1"/>
  <c r="N72" i="18"/>
  <c r="P72" i="18" s="1"/>
  <c r="N75" i="18"/>
  <c r="P75" i="18" s="1"/>
  <c r="Q75" i="18" s="1"/>
  <c r="N71" i="18"/>
  <c r="P71" i="18" s="1"/>
  <c r="Q71" i="18" s="1"/>
  <c r="N73" i="18"/>
  <c r="P73" i="18" s="1"/>
  <c r="Q73" i="18" s="1"/>
  <c r="N74" i="18"/>
  <c r="P74" i="18" s="1"/>
  <c r="R280" i="20"/>
  <c r="R291" i="20"/>
  <c r="R282" i="20"/>
  <c r="O280" i="20"/>
  <c r="Q280" i="20" s="1"/>
  <c r="O282" i="20"/>
  <c r="Q282" i="20" s="1"/>
  <c r="O287" i="20"/>
  <c r="Q287" i="20" s="1"/>
  <c r="R287" i="20" s="1"/>
  <c r="O289" i="20"/>
  <c r="Q289" i="20" s="1"/>
  <c r="R289" i="20" s="1"/>
  <c r="O290" i="20"/>
  <c r="Q290" i="20" s="1"/>
  <c r="R290" i="20" s="1"/>
  <c r="O296" i="20"/>
  <c r="Q296" i="20" s="1"/>
  <c r="R296" i="20" s="1"/>
  <c r="O298" i="20"/>
  <c r="Q298" i="20" s="1"/>
  <c r="R298" i="20" s="1"/>
  <c r="O300" i="20"/>
  <c r="Q300" i="20" s="1"/>
  <c r="R300" i="20" s="1"/>
  <c r="O305" i="20"/>
  <c r="Q305" i="20" s="1"/>
  <c r="R305" i="20" s="1"/>
  <c r="O308" i="20"/>
  <c r="Q308" i="20" s="1"/>
  <c r="R308" i="20" s="1"/>
  <c r="O279" i="20"/>
  <c r="Q279" i="20" s="1"/>
  <c r="R279" i="20" s="1"/>
  <c r="O281" i="20"/>
  <c r="Q281" i="20" s="1"/>
  <c r="R281" i="20" s="1"/>
  <c r="O283" i="20"/>
  <c r="Q283" i="20" s="1"/>
  <c r="R283" i="20" s="1"/>
  <c r="O288" i="20"/>
  <c r="Q288" i="20" s="1"/>
  <c r="R288" i="20" s="1"/>
  <c r="O291" i="20"/>
  <c r="Q291" i="20" s="1"/>
  <c r="O297" i="20"/>
  <c r="Q297" i="20" s="1"/>
  <c r="R297" i="20" s="1"/>
  <c r="O299" i="20"/>
  <c r="Q299" i="20" s="1"/>
  <c r="R299" i="20" s="1"/>
  <c r="O304" i="20"/>
  <c r="Q304" i="20" s="1"/>
  <c r="R304" i="20" s="1"/>
  <c r="O306" i="20"/>
  <c r="Q306" i="20" s="1"/>
  <c r="R306" i="20" s="1"/>
  <c r="O307" i="20"/>
  <c r="Q307" i="20" s="1"/>
  <c r="R307" i="20" s="1"/>
  <c r="M400" i="19"/>
  <c r="N400" i="19"/>
  <c r="P400" i="19" s="1"/>
  <c r="Q400" i="19" s="1"/>
  <c r="N401" i="19"/>
  <c r="P401" i="19" s="1"/>
  <c r="Q401" i="19" s="1"/>
  <c r="N402" i="19"/>
  <c r="P402" i="19" s="1"/>
  <c r="Q402" i="19" s="1"/>
  <c r="N403" i="19"/>
  <c r="P403" i="19" s="1"/>
  <c r="Q403" i="19" s="1"/>
  <c r="N404" i="19"/>
  <c r="P404" i="19" s="1"/>
  <c r="Q404" i="19" s="1"/>
  <c r="N408" i="19"/>
  <c r="P408" i="19" s="1"/>
  <c r="Q408" i="19" s="1"/>
  <c r="N409" i="19"/>
  <c r="P409" i="19" s="1"/>
  <c r="Q409" i="19" s="1"/>
  <c r="N410" i="19"/>
  <c r="P410" i="19" s="1"/>
  <c r="Q410" i="19" s="1"/>
  <c r="N411" i="19"/>
  <c r="P411" i="19" s="1"/>
  <c r="Q411" i="19" s="1"/>
  <c r="N412" i="19"/>
  <c r="P412" i="19" s="1"/>
  <c r="Q412" i="19" s="1"/>
  <c r="N383" i="19"/>
  <c r="P383" i="19" s="1"/>
  <c r="Q383" i="19" s="1"/>
  <c r="N384" i="19"/>
  <c r="P384" i="19" s="1"/>
  <c r="Q384" i="19" s="1"/>
  <c r="N385" i="19"/>
  <c r="P385" i="19" s="1"/>
  <c r="Q385" i="19" s="1"/>
  <c r="N386" i="19"/>
  <c r="P386" i="19" s="1"/>
  <c r="Q386" i="19" s="1"/>
  <c r="N387" i="19"/>
  <c r="P387" i="19" s="1"/>
  <c r="Q387" i="19" s="1"/>
  <c r="N391" i="19"/>
  <c r="P391" i="19" s="1"/>
  <c r="Q391" i="19" s="1"/>
  <c r="N392" i="19"/>
  <c r="P392" i="19" s="1"/>
  <c r="Q392" i="19" s="1"/>
  <c r="N393" i="19"/>
  <c r="P393" i="19" s="1"/>
  <c r="Q393" i="19" s="1"/>
  <c r="N394" i="19"/>
  <c r="P394" i="19" s="1"/>
  <c r="Q394" i="19" s="1"/>
  <c r="N395" i="19"/>
  <c r="P395" i="19" s="1"/>
  <c r="Q395" i="19" s="1"/>
  <c r="P54" i="18"/>
  <c r="Q54" i="18" s="1"/>
  <c r="P55" i="18"/>
  <c r="Q55" i="18" s="1"/>
  <c r="P56" i="18"/>
  <c r="Q56" i="18" s="1"/>
  <c r="P57" i="18"/>
  <c r="Q57" i="18" s="1"/>
  <c r="P58" i="18"/>
  <c r="Q58" i="18" s="1"/>
  <c r="P62" i="18"/>
  <c r="Q62" i="18" s="1"/>
  <c r="N63" i="18"/>
  <c r="P63" i="18" s="1"/>
  <c r="Q63" i="18" s="1"/>
  <c r="N64" i="18"/>
  <c r="P64" i="18" s="1"/>
  <c r="Q64" i="18" s="1"/>
  <c r="N65" i="18"/>
  <c r="P65" i="18" s="1"/>
  <c r="Q65" i="18" s="1"/>
  <c r="N66" i="18"/>
  <c r="P66" i="18" s="1"/>
  <c r="Q66" i="18" s="1"/>
  <c r="P41" i="19"/>
  <c r="Q41" i="19" s="1"/>
  <c r="P43" i="19"/>
  <c r="Q43" i="19" s="1"/>
  <c r="P44" i="19"/>
  <c r="Q44" i="19" s="1"/>
  <c r="P50" i="19"/>
  <c r="Q50" i="19" s="1"/>
  <c r="P53" i="19"/>
  <c r="Q53" i="19" s="1"/>
  <c r="P40" i="19"/>
  <c r="Q40" i="19" s="1"/>
  <c r="P42" i="19"/>
  <c r="Q42" i="19" s="1"/>
  <c r="P49" i="19"/>
  <c r="Q49" i="19" s="1"/>
  <c r="P51" i="19"/>
  <c r="Q51" i="19" s="1"/>
  <c r="P52" i="19"/>
  <c r="Q52" i="19" s="1"/>
  <c r="K149" i="16"/>
  <c r="L149" i="16" s="1"/>
  <c r="H150" i="16" l="1"/>
  <c r="I150" i="16" s="1"/>
  <c r="H148" i="16"/>
  <c r="I148" i="16" s="1"/>
  <c r="H147" i="16"/>
  <c r="I147" i="16" s="1"/>
  <c r="H141" i="16"/>
  <c r="I141" i="16" s="1"/>
  <c r="H140" i="16"/>
  <c r="I140" i="16" s="1"/>
  <c r="H139" i="16"/>
  <c r="I139" i="16" s="1"/>
  <c r="H138" i="16"/>
  <c r="I138" i="16" s="1"/>
  <c r="H137" i="16"/>
  <c r="I137" i="16" s="1"/>
  <c r="H136" i="16"/>
  <c r="I136" i="16" s="1"/>
  <c r="H135" i="16"/>
  <c r="I135" i="16" s="1"/>
  <c r="L565" i="18"/>
  <c r="M565" i="18" s="1"/>
  <c r="L564" i="18"/>
  <c r="M564" i="18" s="1"/>
  <c r="L563" i="18"/>
  <c r="M563" i="18" s="1"/>
  <c r="L562" i="18"/>
  <c r="M562" i="18" s="1"/>
  <c r="L561" i="18"/>
  <c r="M561" i="18" s="1"/>
  <c r="L560" i="18"/>
  <c r="M560" i="18" s="1"/>
  <c r="L559" i="18"/>
  <c r="M559" i="18" s="1"/>
  <c r="L558" i="18"/>
  <c r="M558" i="18" s="1"/>
  <c r="L557" i="18"/>
  <c r="M557" i="18" s="1"/>
  <c r="L556" i="18"/>
  <c r="M556" i="18" s="1"/>
  <c r="M552" i="18"/>
  <c r="N552" i="18" s="1"/>
  <c r="M551" i="18"/>
  <c r="N551" i="18" s="1"/>
  <c r="M550" i="18"/>
  <c r="M549" i="18"/>
  <c r="N549" i="18" s="1"/>
  <c r="M548" i="18"/>
  <c r="N548" i="18" s="1"/>
  <c r="M547" i="18"/>
  <c r="N547" i="18" s="1"/>
  <c r="M546" i="18"/>
  <c r="M545" i="18"/>
  <c r="N545" i="18" s="1"/>
  <c r="M544" i="18"/>
  <c r="N544" i="18" s="1"/>
  <c r="P544" i="18" s="1"/>
  <c r="Q544" i="18" s="1"/>
  <c r="D544" i="18"/>
  <c r="D545" i="18" s="1"/>
  <c r="M543" i="18"/>
  <c r="N543" i="18" s="1"/>
  <c r="P543" i="18" s="1"/>
  <c r="Q543" i="18" s="1"/>
  <c r="M539" i="18"/>
  <c r="N539" i="18" s="1"/>
  <c r="P539" i="18" s="1"/>
  <c r="Q539" i="18" s="1"/>
  <c r="M538" i="18"/>
  <c r="N538" i="18" s="1"/>
  <c r="P538" i="18" s="1"/>
  <c r="Q538" i="18" s="1"/>
  <c r="M537" i="18"/>
  <c r="N537" i="18" s="1"/>
  <c r="P537" i="18" s="1"/>
  <c r="Q537" i="18" s="1"/>
  <c r="M536" i="18"/>
  <c r="N536" i="18" s="1"/>
  <c r="P536" i="18" s="1"/>
  <c r="Q536" i="18" s="1"/>
  <c r="M535" i="18"/>
  <c r="N535" i="18" s="1"/>
  <c r="P535" i="18" s="1"/>
  <c r="Q535" i="18" s="1"/>
  <c r="M534" i="18"/>
  <c r="N534" i="18" s="1"/>
  <c r="P534" i="18" s="1"/>
  <c r="Q534" i="18" s="1"/>
  <c r="M533" i="18"/>
  <c r="N533" i="18" s="1"/>
  <c r="P533" i="18" s="1"/>
  <c r="Q533" i="18" s="1"/>
  <c r="M532" i="18"/>
  <c r="N532" i="18" s="1"/>
  <c r="P532" i="18" s="1"/>
  <c r="Q532" i="18" s="1"/>
  <c r="M531" i="18"/>
  <c r="N531" i="18" s="1"/>
  <c r="P531" i="18" s="1"/>
  <c r="Q531" i="18" s="1"/>
  <c r="M530" i="18"/>
  <c r="N530" i="18" s="1"/>
  <c r="P530" i="18" s="1"/>
  <c r="Q530" i="18" s="1"/>
  <c r="M526" i="18"/>
  <c r="N526" i="18" s="1"/>
  <c r="P526" i="18" s="1"/>
  <c r="Q526" i="18" s="1"/>
  <c r="M525" i="18"/>
  <c r="N525" i="18" s="1"/>
  <c r="P525" i="18" s="1"/>
  <c r="Q525" i="18" s="1"/>
  <c r="M524" i="18"/>
  <c r="N524" i="18" s="1"/>
  <c r="P524" i="18" s="1"/>
  <c r="Q524" i="18" s="1"/>
  <c r="M523" i="18"/>
  <c r="N523" i="18" s="1"/>
  <c r="P523" i="18" s="1"/>
  <c r="Q523" i="18" s="1"/>
  <c r="M522" i="18"/>
  <c r="N522" i="18" s="1"/>
  <c r="P522" i="18" s="1"/>
  <c r="Q522" i="18" s="1"/>
  <c r="M521" i="18"/>
  <c r="N521" i="18" s="1"/>
  <c r="P521" i="18" s="1"/>
  <c r="Q521" i="18" s="1"/>
  <c r="M520" i="18"/>
  <c r="N520" i="18" s="1"/>
  <c r="P520" i="18" s="1"/>
  <c r="Q520" i="18" s="1"/>
  <c r="M519" i="18"/>
  <c r="N519" i="18" s="1"/>
  <c r="P519" i="18" s="1"/>
  <c r="Q519" i="18" s="1"/>
  <c r="M518" i="18"/>
  <c r="N518" i="18" s="1"/>
  <c r="P518" i="18" s="1"/>
  <c r="Q518" i="18" s="1"/>
  <c r="M517" i="18"/>
  <c r="N517" i="18" s="1"/>
  <c r="P517" i="18" s="1"/>
  <c r="Q517" i="18" s="1"/>
  <c r="P265" i="20"/>
  <c r="P266" i="20"/>
  <c r="P267" i="20"/>
  <c r="P268" i="20"/>
  <c r="P269" i="20"/>
  <c r="P270" i="20"/>
  <c r="P271" i="20"/>
  <c r="P272" i="20"/>
  <c r="P273" i="20"/>
  <c r="P249" i="20"/>
  <c r="P250" i="20"/>
  <c r="P251" i="20"/>
  <c r="P252" i="20"/>
  <c r="P253" i="20"/>
  <c r="P254" i="20"/>
  <c r="P255" i="20"/>
  <c r="P256" i="20"/>
  <c r="P257" i="20"/>
  <c r="P248" i="20"/>
  <c r="J273" i="20"/>
  <c r="K273" i="20" s="1"/>
  <c r="J272" i="20"/>
  <c r="K272" i="20" s="1"/>
  <c r="J271" i="20"/>
  <c r="K271" i="20" s="1"/>
  <c r="J270" i="20"/>
  <c r="K270" i="20" s="1"/>
  <c r="J269" i="20"/>
  <c r="K269" i="20" s="1"/>
  <c r="J268" i="20"/>
  <c r="K268" i="20" s="1"/>
  <c r="J267" i="20"/>
  <c r="K267" i="20" s="1"/>
  <c r="J266" i="20"/>
  <c r="K266" i="20" s="1"/>
  <c r="J265" i="20"/>
  <c r="K265" i="20" s="1"/>
  <c r="L264" i="20"/>
  <c r="P264" i="20" s="1"/>
  <c r="J264" i="20"/>
  <c r="K264" i="20" s="1"/>
  <c r="J257" i="20"/>
  <c r="K257" i="20" s="1"/>
  <c r="J256" i="20"/>
  <c r="K256" i="20" s="1"/>
  <c r="J255" i="20"/>
  <c r="K255" i="20" s="1"/>
  <c r="J254" i="20"/>
  <c r="K254" i="20" s="1"/>
  <c r="J253" i="20"/>
  <c r="K253" i="20" s="1"/>
  <c r="J252" i="20"/>
  <c r="K252" i="20" s="1"/>
  <c r="J251" i="20"/>
  <c r="K251" i="20" s="1"/>
  <c r="J250" i="20"/>
  <c r="K250" i="20" s="1"/>
  <c r="J249" i="20"/>
  <c r="K249" i="20" s="1"/>
  <c r="J248" i="20"/>
  <c r="K248" i="20" s="1"/>
  <c r="J243" i="20"/>
  <c r="K243" i="20" s="1"/>
  <c r="J242" i="20"/>
  <c r="K242" i="20" s="1"/>
  <c r="K241" i="20"/>
  <c r="M241" i="20" s="1"/>
  <c r="N241" i="20" s="1"/>
  <c r="J241" i="20"/>
  <c r="J240" i="20"/>
  <c r="K240" i="20" s="1"/>
  <c r="J239" i="20"/>
  <c r="K239" i="20" s="1"/>
  <c r="J238" i="20"/>
  <c r="K238" i="20" s="1"/>
  <c r="J237" i="20"/>
  <c r="K237" i="20" s="1"/>
  <c r="M237" i="20" s="1"/>
  <c r="N237" i="20" s="1"/>
  <c r="J236" i="20"/>
  <c r="K236" i="20" s="1"/>
  <c r="J235" i="20"/>
  <c r="K235" i="20" s="1"/>
  <c r="J234" i="20"/>
  <c r="K234" i="20" s="1"/>
  <c r="J227" i="20"/>
  <c r="K227" i="20" s="1"/>
  <c r="M227" i="20" s="1"/>
  <c r="N227" i="20" s="1"/>
  <c r="J226" i="20"/>
  <c r="K226" i="20" s="1"/>
  <c r="J225" i="20"/>
  <c r="K225" i="20" s="1"/>
  <c r="J224" i="20"/>
  <c r="K224" i="20" s="1"/>
  <c r="J223" i="20"/>
  <c r="K223" i="20" s="1"/>
  <c r="M223" i="20" s="1"/>
  <c r="N223" i="20" s="1"/>
  <c r="J222" i="20"/>
  <c r="K222" i="20" s="1"/>
  <c r="J221" i="20"/>
  <c r="K221" i="20" s="1"/>
  <c r="J220" i="20"/>
  <c r="K220" i="20" s="1"/>
  <c r="J219" i="20"/>
  <c r="K219" i="20" s="1"/>
  <c r="M219" i="20" s="1"/>
  <c r="N219" i="20" s="1"/>
  <c r="J218" i="20"/>
  <c r="K218" i="20" s="1"/>
  <c r="P378" i="19"/>
  <c r="P377" i="19"/>
  <c r="P376" i="19"/>
  <c r="P375" i="19"/>
  <c r="P374" i="19"/>
  <c r="P373" i="19"/>
  <c r="P372" i="19"/>
  <c r="P371" i="19"/>
  <c r="P370" i="19"/>
  <c r="P369" i="19"/>
  <c r="P355" i="19"/>
  <c r="P356" i="19"/>
  <c r="P357" i="19"/>
  <c r="P358" i="19"/>
  <c r="P359" i="19"/>
  <c r="P360" i="19"/>
  <c r="P361" i="19"/>
  <c r="P362" i="19"/>
  <c r="P363" i="19"/>
  <c r="P354" i="19"/>
  <c r="J378" i="19"/>
  <c r="K378" i="19" s="1"/>
  <c r="J377" i="19"/>
  <c r="K377" i="19" s="1"/>
  <c r="J376" i="19"/>
  <c r="K376" i="19" s="1"/>
  <c r="J375" i="19"/>
  <c r="K375" i="19" s="1"/>
  <c r="J374" i="19"/>
  <c r="K374" i="19" s="1"/>
  <c r="J373" i="19"/>
  <c r="K373" i="19" s="1"/>
  <c r="J372" i="19"/>
  <c r="K372" i="19" s="1"/>
  <c r="J371" i="19"/>
  <c r="K371" i="19" s="1"/>
  <c r="J370" i="19"/>
  <c r="K370" i="19" s="1"/>
  <c r="J369" i="19"/>
  <c r="K369" i="19" s="1"/>
  <c r="J363" i="19"/>
  <c r="K363" i="19" s="1"/>
  <c r="J362" i="19"/>
  <c r="K362" i="19" s="1"/>
  <c r="J361" i="19"/>
  <c r="K361" i="19" s="1"/>
  <c r="J360" i="19"/>
  <c r="K360" i="19" s="1"/>
  <c r="J359" i="19"/>
  <c r="K359" i="19" s="1"/>
  <c r="J358" i="19"/>
  <c r="K358" i="19" s="1"/>
  <c r="J357" i="19"/>
  <c r="K357" i="19" s="1"/>
  <c r="J356" i="19"/>
  <c r="K356" i="19" s="1"/>
  <c r="J355" i="19"/>
  <c r="K355" i="19" s="1"/>
  <c r="J354" i="19"/>
  <c r="K354" i="19" s="1"/>
  <c r="J327" i="19"/>
  <c r="K327" i="19" s="1"/>
  <c r="J328" i="19"/>
  <c r="K328" i="19" s="1"/>
  <c r="J329" i="19"/>
  <c r="K329" i="19" s="1"/>
  <c r="J330" i="19"/>
  <c r="K330" i="19" s="1"/>
  <c r="J331" i="19"/>
  <c r="K331" i="19" s="1"/>
  <c r="J332" i="19"/>
  <c r="K332" i="19" s="1"/>
  <c r="J333" i="19"/>
  <c r="K333" i="19" s="1"/>
  <c r="J324" i="19"/>
  <c r="K324" i="19" s="1"/>
  <c r="J325" i="19"/>
  <c r="K325" i="19" s="1"/>
  <c r="J326" i="19"/>
  <c r="K326" i="19" s="1"/>
  <c r="J339" i="19"/>
  <c r="K339" i="19" s="1"/>
  <c r="J348" i="19"/>
  <c r="K348" i="19" s="1"/>
  <c r="J347" i="19"/>
  <c r="K347" i="19" s="1"/>
  <c r="J346" i="19"/>
  <c r="K346" i="19" s="1"/>
  <c r="J345" i="19"/>
  <c r="K345" i="19" s="1"/>
  <c r="J344" i="19"/>
  <c r="K344" i="19" s="1"/>
  <c r="J343" i="19"/>
  <c r="K343" i="19" s="1"/>
  <c r="M343" i="19" s="1"/>
  <c r="J342" i="19"/>
  <c r="K342" i="19" s="1"/>
  <c r="M342" i="19" s="1"/>
  <c r="N342" i="19" s="1"/>
  <c r="J341" i="19"/>
  <c r="K341" i="19" s="1"/>
  <c r="J340" i="19"/>
  <c r="K340" i="19" s="1"/>
  <c r="K147" i="16" l="1"/>
  <c r="L147" i="16" s="1"/>
  <c r="K138" i="16"/>
  <c r="L138" i="16" s="1"/>
  <c r="K141" i="16"/>
  <c r="L141" i="16" s="1"/>
  <c r="K139" i="16"/>
  <c r="L139" i="16" s="1"/>
  <c r="K137" i="16"/>
  <c r="L137" i="16" s="1"/>
  <c r="K135" i="16"/>
  <c r="L135" i="16" s="1"/>
  <c r="K148" i="16"/>
  <c r="L148" i="16" s="1"/>
  <c r="K136" i="16"/>
  <c r="L136" i="16" s="1"/>
  <c r="K140" i="16"/>
  <c r="L140" i="16" s="1"/>
  <c r="K150" i="16"/>
  <c r="L150" i="16" s="1"/>
  <c r="N556" i="18"/>
  <c r="P556" i="18" s="1"/>
  <c r="Q556" i="18" s="1"/>
  <c r="N560" i="18"/>
  <c r="P560" i="18" s="1"/>
  <c r="Q560" i="18" s="1"/>
  <c r="N564" i="18"/>
  <c r="P564" i="18" s="1"/>
  <c r="Q564" i="18" s="1"/>
  <c r="N558" i="18"/>
  <c r="P558" i="18" s="1"/>
  <c r="Q558" i="18" s="1"/>
  <c r="N563" i="18"/>
  <c r="P563" i="18" s="1"/>
  <c r="Q563" i="18" s="1"/>
  <c r="D546" i="18"/>
  <c r="P545" i="18"/>
  <c r="Q545" i="18"/>
  <c r="N562" i="18"/>
  <c r="P562" i="18" s="1"/>
  <c r="Q562" i="18" s="1"/>
  <c r="N559" i="18"/>
  <c r="P559" i="18" s="1"/>
  <c r="Q559" i="18" s="1"/>
  <c r="N546" i="18"/>
  <c r="N565" i="18"/>
  <c r="P565" i="18" s="1"/>
  <c r="Q565" i="18" s="1"/>
  <c r="N550" i="18"/>
  <c r="N557" i="18"/>
  <c r="P557" i="18" s="1"/>
  <c r="Q557" i="18" s="1"/>
  <c r="N561" i="18"/>
  <c r="P561" i="18" s="1"/>
  <c r="Q561" i="18" s="1"/>
  <c r="O342" i="19"/>
  <c r="O343" i="19"/>
  <c r="M268" i="20"/>
  <c r="N268" i="20" s="1"/>
  <c r="M220" i="20"/>
  <c r="O220" i="20" s="1"/>
  <c r="M234" i="20"/>
  <c r="N234" i="20" s="1"/>
  <c r="M242" i="20"/>
  <c r="O242" i="20" s="1"/>
  <c r="M272" i="20"/>
  <c r="N272" i="20" s="1"/>
  <c r="M218" i="20"/>
  <c r="N218" i="20" s="1"/>
  <c r="M226" i="20"/>
  <c r="O226" i="20" s="1"/>
  <c r="M240" i="20"/>
  <c r="O240" i="20" s="1"/>
  <c r="M249" i="20"/>
  <c r="O249" i="20" s="1"/>
  <c r="M251" i="20"/>
  <c r="O251" i="20" s="1"/>
  <c r="M253" i="20"/>
  <c r="N253" i="20" s="1"/>
  <c r="M255" i="20"/>
  <c r="N255" i="20" s="1"/>
  <c r="M257" i="20"/>
  <c r="O257" i="20" s="1"/>
  <c r="M265" i="20"/>
  <c r="O265" i="20" s="1"/>
  <c r="M267" i="20"/>
  <c r="O267" i="20" s="1"/>
  <c r="M269" i="20"/>
  <c r="N269" i="20" s="1"/>
  <c r="M271" i="20"/>
  <c r="O271" i="20" s="1"/>
  <c r="M273" i="20"/>
  <c r="O273" i="20" s="1"/>
  <c r="M222" i="20"/>
  <c r="O222" i="20" s="1"/>
  <c r="M236" i="20"/>
  <c r="O236" i="20" s="1"/>
  <c r="M248" i="20"/>
  <c r="N248" i="20" s="1"/>
  <c r="M250" i="20"/>
  <c r="N250" i="20" s="1"/>
  <c r="M252" i="20"/>
  <c r="N252" i="20" s="1"/>
  <c r="M254" i="20"/>
  <c r="N254" i="20" s="1"/>
  <c r="M256" i="20"/>
  <c r="N256" i="20" s="1"/>
  <c r="M264" i="20"/>
  <c r="N264" i="20" s="1"/>
  <c r="M266" i="20"/>
  <c r="N266" i="20" s="1"/>
  <c r="M270" i="20"/>
  <c r="N270" i="20" s="1"/>
  <c r="M224" i="20"/>
  <c r="N224" i="20" s="1"/>
  <c r="M238" i="20"/>
  <c r="N238" i="20" s="1"/>
  <c r="O219" i="20"/>
  <c r="M221" i="20"/>
  <c r="N221" i="20" s="1"/>
  <c r="O223" i="20"/>
  <c r="M225" i="20"/>
  <c r="O225" i="20" s="1"/>
  <c r="O227" i="20"/>
  <c r="M235" i="20"/>
  <c r="O235" i="20" s="1"/>
  <c r="O237" i="20"/>
  <c r="M239" i="20"/>
  <c r="O239" i="20" s="1"/>
  <c r="O241" i="20"/>
  <c r="M243" i="20"/>
  <c r="N243" i="20" s="1"/>
  <c r="N235" i="20"/>
  <c r="M373" i="19"/>
  <c r="O373" i="19" s="1"/>
  <c r="M372" i="19"/>
  <c r="M376" i="19"/>
  <c r="O376" i="19" s="1"/>
  <c r="M377" i="19"/>
  <c r="O377" i="19" s="1"/>
  <c r="M354" i="19"/>
  <c r="O354" i="19" s="1"/>
  <c r="M369" i="19"/>
  <c r="N369" i="19" s="1"/>
  <c r="M360" i="19"/>
  <c r="O360" i="19" s="1"/>
  <c r="M363" i="19"/>
  <c r="N363" i="19" s="1"/>
  <c r="M371" i="19"/>
  <c r="O371" i="19" s="1"/>
  <c r="M355" i="19"/>
  <c r="N355" i="19" s="1"/>
  <c r="M358" i="19"/>
  <c r="N358" i="19" s="1"/>
  <c r="M375" i="19"/>
  <c r="N375" i="19" s="1"/>
  <c r="M356" i="19"/>
  <c r="N356" i="19" s="1"/>
  <c r="M359" i="19"/>
  <c r="N359" i="19" s="1"/>
  <c r="M362" i="19"/>
  <c r="N362" i="19" s="1"/>
  <c r="M357" i="19"/>
  <c r="O357" i="19" s="1"/>
  <c r="M361" i="19"/>
  <c r="O361" i="19" s="1"/>
  <c r="M370" i="19"/>
  <c r="O370" i="19" s="1"/>
  <c r="M374" i="19"/>
  <c r="O374" i="19" s="1"/>
  <c r="N377" i="19"/>
  <c r="M378" i="19"/>
  <c r="O378" i="19" s="1"/>
  <c r="M346" i="19"/>
  <c r="O346" i="19" s="1"/>
  <c r="M347" i="19"/>
  <c r="N347" i="19" s="1"/>
  <c r="M330" i="19"/>
  <c r="O330" i="19" s="1"/>
  <c r="M333" i="19"/>
  <c r="O333" i="19" s="1"/>
  <c r="M329" i="19"/>
  <c r="O329" i="19" s="1"/>
  <c r="M325" i="19"/>
  <c r="N325" i="19" s="1"/>
  <c r="M326" i="19"/>
  <c r="O326" i="19" s="1"/>
  <c r="M339" i="19"/>
  <c r="O339" i="19" s="1"/>
  <c r="M328" i="19"/>
  <c r="M341" i="19"/>
  <c r="N341" i="19" s="1"/>
  <c r="M324" i="19"/>
  <c r="N324" i="19" s="1"/>
  <c r="M332" i="19"/>
  <c r="O332" i="19" s="1"/>
  <c r="M345" i="19"/>
  <c r="O345" i="19" s="1"/>
  <c r="M327" i="19"/>
  <c r="O327" i="19" s="1"/>
  <c r="M331" i="19"/>
  <c r="N331" i="19" s="1"/>
  <c r="M340" i="19"/>
  <c r="O340" i="19" s="1"/>
  <c r="N343" i="19"/>
  <c r="M344" i="19"/>
  <c r="O344" i="19" s="1"/>
  <c r="M348" i="19"/>
  <c r="O348" i="19" s="1"/>
  <c r="N239" i="20" l="1"/>
  <c r="O248" i="20"/>
  <c r="O255" i="20"/>
  <c r="O256" i="20"/>
  <c r="O269" i="20"/>
  <c r="O253" i="20"/>
  <c r="N236" i="20"/>
  <c r="O224" i="20"/>
  <c r="O250" i="20"/>
  <c r="N226" i="20"/>
  <c r="N271" i="20"/>
  <c r="N240" i="20"/>
  <c r="N225" i="20"/>
  <c r="O238" i="20"/>
  <c r="N222" i="20"/>
  <c r="N267" i="20"/>
  <c r="N257" i="20"/>
  <c r="O272" i="20"/>
  <c r="O264" i="20"/>
  <c r="N249" i="20"/>
  <c r="O234" i="20"/>
  <c r="D547" i="18"/>
  <c r="P546" i="18"/>
  <c r="Q546" i="18" s="1"/>
  <c r="O375" i="19"/>
  <c r="N374" i="19"/>
  <c r="N373" i="19"/>
  <c r="N372" i="19"/>
  <c r="O372" i="19"/>
  <c r="O369" i="19"/>
  <c r="O341" i="19"/>
  <c r="O347" i="19"/>
  <c r="O218" i="20"/>
  <c r="O324" i="19"/>
  <c r="O331" i="19"/>
  <c r="N328" i="19"/>
  <c r="O328" i="19"/>
  <c r="N326" i="19"/>
  <c r="O325" i="19"/>
  <c r="O359" i="19"/>
  <c r="O362" i="19"/>
  <c r="O363" i="19"/>
  <c r="O355" i="19"/>
  <c r="O356" i="19"/>
  <c r="O358" i="19"/>
  <c r="O243" i="20"/>
  <c r="O221" i="20"/>
  <c r="O266" i="20"/>
  <c r="O252" i="20"/>
  <c r="N273" i="20"/>
  <c r="N265" i="20"/>
  <c r="N251" i="20"/>
  <c r="O268" i="20"/>
  <c r="O270" i="20"/>
  <c r="O254" i="20"/>
  <c r="N242" i="20"/>
  <c r="N220" i="20"/>
  <c r="N327" i="19"/>
  <c r="N329" i="19"/>
  <c r="N332" i="19"/>
  <c r="N376" i="19"/>
  <c r="N357" i="19"/>
  <c r="N354" i="19"/>
  <c r="N361" i="19"/>
  <c r="N371" i="19"/>
  <c r="N360" i="19"/>
  <c r="N370" i="19"/>
  <c r="N378" i="19"/>
  <c r="N348" i="19"/>
  <c r="N346" i="19"/>
  <c r="N340" i="19"/>
  <c r="N333" i="19"/>
  <c r="N330" i="19"/>
  <c r="N339" i="19"/>
  <c r="N345" i="19"/>
  <c r="N344" i="19"/>
  <c r="P547" i="18" l="1"/>
  <c r="Q547" i="18" s="1"/>
  <c r="D548" i="18"/>
  <c r="P548" i="18" l="1"/>
  <c r="Q548" i="18" s="1"/>
  <c r="D549" i="18"/>
  <c r="D550" i="18" l="1"/>
  <c r="P549" i="18"/>
  <c r="Q549" i="18" s="1"/>
  <c r="M212" i="20"/>
  <c r="M211" i="20"/>
  <c r="N211" i="20" s="1"/>
  <c r="P211" i="20" s="1"/>
  <c r="M210" i="20"/>
  <c r="M209" i="20"/>
  <c r="M208" i="20"/>
  <c r="M203" i="20"/>
  <c r="N203" i="20" s="1"/>
  <c r="P203" i="20" s="1"/>
  <c r="M202" i="20"/>
  <c r="M201" i="20"/>
  <c r="N201" i="20" s="1"/>
  <c r="P201" i="20" s="1"/>
  <c r="M200" i="20"/>
  <c r="M199" i="20"/>
  <c r="N199" i="20" s="1"/>
  <c r="P199" i="20" s="1"/>
  <c r="L194" i="20"/>
  <c r="L193" i="20"/>
  <c r="M193" i="20" s="1"/>
  <c r="L192" i="20"/>
  <c r="M192" i="20" s="1"/>
  <c r="L191" i="20"/>
  <c r="M191" i="20" s="1"/>
  <c r="L190" i="20"/>
  <c r="M190" i="20" s="1"/>
  <c r="L186" i="20"/>
  <c r="M186" i="20" s="1"/>
  <c r="L185" i="20"/>
  <c r="M185" i="20" s="1"/>
  <c r="N185" i="20" s="1"/>
  <c r="P185" i="20" s="1"/>
  <c r="L184" i="20"/>
  <c r="L183" i="20"/>
  <c r="M183" i="20" s="1"/>
  <c r="N183" i="20" s="1"/>
  <c r="P183" i="20" s="1"/>
  <c r="Q183" i="20" s="1"/>
  <c r="L182" i="20"/>
  <c r="M182" i="20" s="1"/>
  <c r="M194" i="20"/>
  <c r="M184" i="20"/>
  <c r="M178" i="20"/>
  <c r="M177" i="20"/>
  <c r="M176" i="20"/>
  <c r="N176" i="20" s="1"/>
  <c r="P176" i="20" s="1"/>
  <c r="M175" i="20"/>
  <c r="M174" i="20"/>
  <c r="N174" i="20" s="1"/>
  <c r="P174" i="20" s="1"/>
  <c r="M170" i="20"/>
  <c r="M169" i="20"/>
  <c r="M168" i="20"/>
  <c r="M167" i="20"/>
  <c r="N167" i="20" s="1"/>
  <c r="P167" i="20" s="1"/>
  <c r="M166" i="20"/>
  <c r="M161" i="20"/>
  <c r="N161" i="20" s="1"/>
  <c r="P161" i="20" s="1"/>
  <c r="Q161" i="20" s="1"/>
  <c r="M160" i="20"/>
  <c r="M159" i="20"/>
  <c r="N159" i="20" s="1"/>
  <c r="P159" i="20" s="1"/>
  <c r="Q159" i="20" s="1"/>
  <c r="M158" i="20"/>
  <c r="M157" i="20"/>
  <c r="N157" i="20" s="1"/>
  <c r="P157" i="20" s="1"/>
  <c r="Q157" i="20" s="1"/>
  <c r="M152" i="20"/>
  <c r="M151" i="20"/>
  <c r="N151" i="20" s="1"/>
  <c r="P151" i="20" s="1"/>
  <c r="Q151" i="20" s="1"/>
  <c r="M150" i="20"/>
  <c r="M149" i="20"/>
  <c r="N149" i="20" s="1"/>
  <c r="P149" i="20" s="1"/>
  <c r="Q149" i="20" s="1"/>
  <c r="M148" i="20"/>
  <c r="M143" i="20"/>
  <c r="N143" i="20" s="1"/>
  <c r="P143" i="20" s="1"/>
  <c r="Q143" i="20" s="1"/>
  <c r="M142" i="20"/>
  <c r="M141" i="20"/>
  <c r="N141" i="20" s="1"/>
  <c r="P141" i="20" s="1"/>
  <c r="Q141" i="20" s="1"/>
  <c r="M140" i="20"/>
  <c r="M139" i="20"/>
  <c r="N139" i="20" s="1"/>
  <c r="P139" i="20" s="1"/>
  <c r="Q139" i="20" s="1"/>
  <c r="M134" i="20"/>
  <c r="M133" i="20"/>
  <c r="N133" i="20" s="1"/>
  <c r="P133" i="20" s="1"/>
  <c r="Q133" i="20" s="1"/>
  <c r="M132" i="20"/>
  <c r="M131" i="20"/>
  <c r="N131" i="20" s="1"/>
  <c r="P131" i="20" s="1"/>
  <c r="Q131" i="20" s="1"/>
  <c r="M130" i="20"/>
  <c r="M125" i="20"/>
  <c r="N125" i="20" s="1"/>
  <c r="P125" i="20" s="1"/>
  <c r="Q125" i="20" s="1"/>
  <c r="M124" i="20"/>
  <c r="M123" i="20"/>
  <c r="N123" i="20" s="1"/>
  <c r="P123" i="20" s="1"/>
  <c r="Q123" i="20" s="1"/>
  <c r="M122" i="20"/>
  <c r="M121" i="20"/>
  <c r="N121" i="20" s="1"/>
  <c r="P121" i="20" s="1"/>
  <c r="Q121" i="20" s="1"/>
  <c r="M116" i="20"/>
  <c r="M115" i="20"/>
  <c r="N115" i="20" s="1"/>
  <c r="P115" i="20" s="1"/>
  <c r="Q115" i="20" s="1"/>
  <c r="M114" i="20"/>
  <c r="M113" i="20"/>
  <c r="N113" i="20" s="1"/>
  <c r="P113" i="20" s="1"/>
  <c r="Q113" i="20" s="1"/>
  <c r="M112" i="20"/>
  <c r="M107" i="20"/>
  <c r="N107" i="20" s="1"/>
  <c r="P107" i="20" s="1"/>
  <c r="Q107" i="20" s="1"/>
  <c r="M106" i="20"/>
  <c r="M105" i="20"/>
  <c r="N105" i="20" s="1"/>
  <c r="P105" i="20" s="1"/>
  <c r="Q105" i="20" s="1"/>
  <c r="M104" i="20"/>
  <c r="M103" i="20"/>
  <c r="N103" i="20" s="1"/>
  <c r="P103" i="20" s="1"/>
  <c r="Q103" i="20" s="1"/>
  <c r="M98" i="20"/>
  <c r="M97" i="20"/>
  <c r="N97" i="20" s="1"/>
  <c r="P97" i="20" s="1"/>
  <c r="Q97" i="20" s="1"/>
  <c r="M96" i="20"/>
  <c r="M95" i="20"/>
  <c r="N95" i="20" s="1"/>
  <c r="P95" i="20" s="1"/>
  <c r="Q95" i="20" s="1"/>
  <c r="M94" i="20"/>
  <c r="M89" i="20"/>
  <c r="N89" i="20" s="1"/>
  <c r="P89" i="20" s="1"/>
  <c r="Q89" i="20" s="1"/>
  <c r="M88" i="20"/>
  <c r="M87" i="20"/>
  <c r="N87" i="20" s="1"/>
  <c r="P87" i="20" s="1"/>
  <c r="Q87" i="20" s="1"/>
  <c r="M86" i="20"/>
  <c r="M85" i="20"/>
  <c r="N85" i="20" s="1"/>
  <c r="P85" i="20" s="1"/>
  <c r="Q85" i="20" s="1"/>
  <c r="M80" i="20"/>
  <c r="M79" i="20"/>
  <c r="N79" i="20" s="1"/>
  <c r="P79" i="20" s="1"/>
  <c r="Q79" i="20" s="1"/>
  <c r="M78" i="20"/>
  <c r="M77" i="20"/>
  <c r="N77" i="20" s="1"/>
  <c r="P77" i="20" s="1"/>
  <c r="Q77" i="20" s="1"/>
  <c r="M76" i="20"/>
  <c r="M71" i="20"/>
  <c r="N71" i="20" s="1"/>
  <c r="P71" i="20" s="1"/>
  <c r="Q71" i="20" s="1"/>
  <c r="M70" i="20"/>
  <c r="M69" i="20"/>
  <c r="N69" i="20" s="1"/>
  <c r="P69" i="20" s="1"/>
  <c r="Q69" i="20" s="1"/>
  <c r="M68" i="20"/>
  <c r="M67" i="20"/>
  <c r="N67" i="20" s="1"/>
  <c r="P67" i="20" s="1"/>
  <c r="Q67" i="20" s="1"/>
  <c r="M62" i="20"/>
  <c r="M61" i="20"/>
  <c r="N61" i="20" s="1"/>
  <c r="P61" i="20" s="1"/>
  <c r="Q61" i="20" s="1"/>
  <c r="M60" i="20"/>
  <c r="M59" i="20"/>
  <c r="N59" i="20" s="1"/>
  <c r="P59" i="20" s="1"/>
  <c r="Q59" i="20" s="1"/>
  <c r="M58" i="20"/>
  <c r="M53" i="20"/>
  <c r="N53" i="20" s="1"/>
  <c r="P53" i="20" s="1"/>
  <c r="Q53" i="20" s="1"/>
  <c r="M52" i="20"/>
  <c r="M51" i="20"/>
  <c r="N51" i="20" s="1"/>
  <c r="P51" i="20" s="1"/>
  <c r="Q51" i="20" s="1"/>
  <c r="M50" i="20"/>
  <c r="M49" i="20"/>
  <c r="N49" i="20" s="1"/>
  <c r="P49" i="20" s="1"/>
  <c r="Q49" i="20" s="1"/>
  <c r="M44" i="20"/>
  <c r="M43" i="20"/>
  <c r="N43" i="20" s="1"/>
  <c r="P43" i="20" s="1"/>
  <c r="Q43" i="20" s="1"/>
  <c r="M42" i="20"/>
  <c r="M41" i="20"/>
  <c r="N41" i="20" s="1"/>
  <c r="P41" i="20" s="1"/>
  <c r="Q41" i="20" s="1"/>
  <c r="M40" i="20"/>
  <c r="M35" i="20"/>
  <c r="N35" i="20" s="1"/>
  <c r="P35" i="20" s="1"/>
  <c r="Q35" i="20" s="1"/>
  <c r="M34" i="20"/>
  <c r="M33" i="20"/>
  <c r="N33" i="20" s="1"/>
  <c r="P33" i="20" s="1"/>
  <c r="Q33" i="20" s="1"/>
  <c r="M32" i="20"/>
  <c r="M31" i="20"/>
  <c r="N31" i="20" s="1"/>
  <c r="P31" i="20" s="1"/>
  <c r="Q31" i="20" s="1"/>
  <c r="M26" i="20"/>
  <c r="M25" i="20"/>
  <c r="N25" i="20" s="1"/>
  <c r="P25" i="20" s="1"/>
  <c r="Q25" i="20" s="1"/>
  <c r="M24" i="20"/>
  <c r="M23" i="20"/>
  <c r="N23" i="20" s="1"/>
  <c r="P23" i="20" s="1"/>
  <c r="Q23" i="20" s="1"/>
  <c r="M22" i="20"/>
  <c r="M17" i="20"/>
  <c r="N17" i="20" s="1"/>
  <c r="P17" i="20" s="1"/>
  <c r="Q17" i="20" s="1"/>
  <c r="M16" i="20"/>
  <c r="M15" i="20"/>
  <c r="N15" i="20" s="1"/>
  <c r="P15" i="20" s="1"/>
  <c r="Q15" i="20" s="1"/>
  <c r="M14" i="20"/>
  <c r="M13" i="20"/>
  <c r="N13" i="20" s="1"/>
  <c r="P13" i="20" s="1"/>
  <c r="Q13" i="20" s="1"/>
  <c r="M8" i="20"/>
  <c r="M7" i="20"/>
  <c r="N7" i="20" s="1"/>
  <c r="P7" i="20" s="1"/>
  <c r="Q7" i="20" s="1"/>
  <c r="M6" i="20"/>
  <c r="M5" i="20"/>
  <c r="N5" i="20" s="1"/>
  <c r="P5" i="20" s="1"/>
  <c r="Q5" i="20" s="1"/>
  <c r="M4" i="20"/>
  <c r="L318" i="19"/>
  <c r="L317" i="19"/>
  <c r="L316" i="19"/>
  <c r="L315" i="19"/>
  <c r="L314" i="19"/>
  <c r="M298" i="19"/>
  <c r="P550" i="18" l="1"/>
  <c r="Q550" i="18" s="1"/>
  <c r="D551" i="18"/>
  <c r="N209" i="20"/>
  <c r="P209" i="20" s="1"/>
  <c r="Q209" i="20" s="1"/>
  <c r="Q201" i="20"/>
  <c r="Q199" i="20"/>
  <c r="Q211" i="20"/>
  <c r="Q203" i="20"/>
  <c r="N200" i="20"/>
  <c r="P200" i="20" s="1"/>
  <c r="Q200" i="20" s="1"/>
  <c r="N202" i="20"/>
  <c r="P202" i="20" s="1"/>
  <c r="Q202" i="20" s="1"/>
  <c r="N208" i="20"/>
  <c r="P208" i="20" s="1"/>
  <c r="Q208" i="20" s="1"/>
  <c r="N210" i="20"/>
  <c r="P210" i="20" s="1"/>
  <c r="Q210" i="20" s="1"/>
  <c r="N212" i="20"/>
  <c r="P212" i="20" s="1"/>
  <c r="Q212" i="20" s="1"/>
  <c r="N190" i="20"/>
  <c r="P190" i="20" s="1"/>
  <c r="Q190" i="20" s="1"/>
  <c r="Q174" i="20"/>
  <c r="Q167" i="20"/>
  <c r="Q185" i="20"/>
  <c r="N178" i="20"/>
  <c r="P178" i="20" s="1"/>
  <c r="Q178" i="20" s="1"/>
  <c r="Q176" i="20"/>
  <c r="N169" i="20"/>
  <c r="P169" i="20" s="1"/>
  <c r="Q169" i="20" s="1"/>
  <c r="N191" i="20"/>
  <c r="P191" i="20" s="1"/>
  <c r="Q191" i="20" s="1"/>
  <c r="N192" i="20"/>
  <c r="P192" i="20" s="1"/>
  <c r="Q192" i="20" s="1"/>
  <c r="N193" i="20"/>
  <c r="P193" i="20" s="1"/>
  <c r="Q193" i="20" s="1"/>
  <c r="N194" i="20"/>
  <c r="P194" i="20" s="1"/>
  <c r="Q194" i="20" s="1"/>
  <c r="N166" i="20"/>
  <c r="P166" i="20" s="1"/>
  <c r="Q166" i="20" s="1"/>
  <c r="N168" i="20"/>
  <c r="P168" i="20" s="1"/>
  <c r="Q168" i="20" s="1"/>
  <c r="N170" i="20"/>
  <c r="P170" i="20" s="1"/>
  <c r="Q170" i="20" s="1"/>
  <c r="N175" i="20"/>
  <c r="P175" i="20" s="1"/>
  <c r="Q175" i="20" s="1"/>
  <c r="N177" i="20"/>
  <c r="P177" i="20" s="1"/>
  <c r="Q177" i="20" s="1"/>
  <c r="N182" i="20"/>
  <c r="P182" i="20" s="1"/>
  <c r="Q182" i="20" s="1"/>
  <c r="N184" i="20"/>
  <c r="P184" i="20" s="1"/>
  <c r="Q184" i="20" s="1"/>
  <c r="N186" i="20"/>
  <c r="P186" i="20" s="1"/>
  <c r="Q186" i="20" s="1"/>
  <c r="N4" i="20"/>
  <c r="P4" i="20" s="1"/>
  <c r="Q4" i="20" s="1"/>
  <c r="N6" i="20"/>
  <c r="P6" i="20" s="1"/>
  <c r="Q6" i="20" s="1"/>
  <c r="N8" i="20"/>
  <c r="P8" i="20" s="1"/>
  <c r="Q8" i="20" s="1"/>
  <c r="N14" i="20"/>
  <c r="P14" i="20" s="1"/>
  <c r="Q14" i="20" s="1"/>
  <c r="N16" i="20"/>
  <c r="P16" i="20" s="1"/>
  <c r="Q16" i="20" s="1"/>
  <c r="N22" i="20"/>
  <c r="P22" i="20" s="1"/>
  <c r="Q22" i="20" s="1"/>
  <c r="N24" i="20"/>
  <c r="P24" i="20" s="1"/>
  <c r="Q24" i="20" s="1"/>
  <c r="N26" i="20"/>
  <c r="P26" i="20" s="1"/>
  <c r="Q26" i="20" s="1"/>
  <c r="N32" i="20"/>
  <c r="P32" i="20" s="1"/>
  <c r="Q32" i="20" s="1"/>
  <c r="N34" i="20"/>
  <c r="P34" i="20" s="1"/>
  <c r="Q34" i="20" s="1"/>
  <c r="N40" i="20"/>
  <c r="P40" i="20" s="1"/>
  <c r="Q40" i="20" s="1"/>
  <c r="N42" i="20"/>
  <c r="P42" i="20" s="1"/>
  <c r="Q42" i="20" s="1"/>
  <c r="N44" i="20"/>
  <c r="P44" i="20" s="1"/>
  <c r="Q44" i="20" s="1"/>
  <c r="N50" i="20"/>
  <c r="P50" i="20" s="1"/>
  <c r="Q50" i="20" s="1"/>
  <c r="N52" i="20"/>
  <c r="P52" i="20" s="1"/>
  <c r="Q52" i="20" s="1"/>
  <c r="N58" i="20"/>
  <c r="P58" i="20" s="1"/>
  <c r="Q58" i="20" s="1"/>
  <c r="N60" i="20"/>
  <c r="P60" i="20" s="1"/>
  <c r="Q60" i="20" s="1"/>
  <c r="N62" i="20"/>
  <c r="P62" i="20" s="1"/>
  <c r="Q62" i="20" s="1"/>
  <c r="N68" i="20"/>
  <c r="P68" i="20" s="1"/>
  <c r="Q68" i="20" s="1"/>
  <c r="N70" i="20"/>
  <c r="P70" i="20" s="1"/>
  <c r="Q70" i="20" s="1"/>
  <c r="N76" i="20"/>
  <c r="P76" i="20" s="1"/>
  <c r="Q76" i="20" s="1"/>
  <c r="N78" i="20"/>
  <c r="P78" i="20" s="1"/>
  <c r="Q78" i="20" s="1"/>
  <c r="N80" i="20"/>
  <c r="P80" i="20" s="1"/>
  <c r="Q80" i="20" s="1"/>
  <c r="N86" i="20"/>
  <c r="P86" i="20" s="1"/>
  <c r="Q86" i="20" s="1"/>
  <c r="N88" i="20"/>
  <c r="P88" i="20" s="1"/>
  <c r="Q88" i="20" s="1"/>
  <c r="N94" i="20"/>
  <c r="P94" i="20" s="1"/>
  <c r="Q94" i="20" s="1"/>
  <c r="N96" i="20"/>
  <c r="P96" i="20" s="1"/>
  <c r="Q96" i="20" s="1"/>
  <c r="N98" i="20"/>
  <c r="P98" i="20" s="1"/>
  <c r="Q98" i="20" s="1"/>
  <c r="N104" i="20"/>
  <c r="P104" i="20" s="1"/>
  <c r="Q104" i="20" s="1"/>
  <c r="N106" i="20"/>
  <c r="P106" i="20" s="1"/>
  <c r="Q106" i="20" s="1"/>
  <c r="N112" i="20"/>
  <c r="P112" i="20" s="1"/>
  <c r="Q112" i="20" s="1"/>
  <c r="N114" i="20"/>
  <c r="P114" i="20" s="1"/>
  <c r="Q114" i="20" s="1"/>
  <c r="N116" i="20"/>
  <c r="P116" i="20" s="1"/>
  <c r="Q116" i="20" s="1"/>
  <c r="N122" i="20"/>
  <c r="P122" i="20" s="1"/>
  <c r="Q122" i="20" s="1"/>
  <c r="N124" i="20"/>
  <c r="P124" i="20" s="1"/>
  <c r="Q124" i="20" s="1"/>
  <c r="N130" i="20"/>
  <c r="P130" i="20" s="1"/>
  <c r="Q130" i="20" s="1"/>
  <c r="N132" i="20"/>
  <c r="P132" i="20" s="1"/>
  <c r="Q132" i="20" s="1"/>
  <c r="N134" i="20"/>
  <c r="P134" i="20" s="1"/>
  <c r="Q134" i="20" s="1"/>
  <c r="N140" i="20"/>
  <c r="P140" i="20" s="1"/>
  <c r="Q140" i="20" s="1"/>
  <c r="N142" i="20"/>
  <c r="P142" i="20" s="1"/>
  <c r="Q142" i="20" s="1"/>
  <c r="N148" i="20"/>
  <c r="P148" i="20" s="1"/>
  <c r="Q148" i="20" s="1"/>
  <c r="N150" i="20"/>
  <c r="P150" i="20" s="1"/>
  <c r="Q150" i="20" s="1"/>
  <c r="N152" i="20"/>
  <c r="P152" i="20" s="1"/>
  <c r="Q152" i="20" s="1"/>
  <c r="N158" i="20"/>
  <c r="P158" i="20" s="1"/>
  <c r="Q158" i="20" s="1"/>
  <c r="N160" i="20"/>
  <c r="P160" i="20" s="1"/>
  <c r="Q160" i="20" s="1"/>
  <c r="P551" i="18" l="1"/>
  <c r="Q551" i="18" s="1"/>
  <c r="D552" i="18"/>
  <c r="P552" i="18" s="1"/>
  <c r="Q552" i="18" s="1"/>
  <c r="M314" i="19" l="1"/>
  <c r="M274" i="19"/>
  <c r="M318" i="19"/>
  <c r="M317" i="19"/>
  <c r="M316" i="19"/>
  <c r="M315" i="19"/>
  <c r="M310" i="19"/>
  <c r="M309" i="19"/>
  <c r="M308" i="19"/>
  <c r="M307" i="19"/>
  <c r="M306" i="19"/>
  <c r="M302" i="19"/>
  <c r="M301" i="19"/>
  <c r="M300" i="19"/>
  <c r="M299" i="19"/>
  <c r="M294" i="19"/>
  <c r="M293" i="19"/>
  <c r="M292" i="19"/>
  <c r="M291" i="19"/>
  <c r="M290" i="19"/>
  <c r="M286" i="19"/>
  <c r="M285" i="19"/>
  <c r="M284" i="19"/>
  <c r="M283" i="19"/>
  <c r="M282" i="19"/>
  <c r="M278" i="19"/>
  <c r="M277" i="19"/>
  <c r="M276" i="19"/>
  <c r="M275" i="19"/>
  <c r="M269" i="19"/>
  <c r="N269" i="19" s="1"/>
  <c r="P269" i="19" s="1"/>
  <c r="Q269" i="19" s="1"/>
  <c r="M268" i="19"/>
  <c r="M267" i="19"/>
  <c r="N267" i="19" s="1"/>
  <c r="P267" i="19" s="1"/>
  <c r="Q267" i="19" s="1"/>
  <c r="M266" i="19"/>
  <c r="M265" i="19"/>
  <c r="N265" i="19" s="1"/>
  <c r="P265" i="19" s="1"/>
  <c r="Q265" i="19" s="1"/>
  <c r="M260" i="19"/>
  <c r="M259" i="19"/>
  <c r="N259" i="19" s="1"/>
  <c r="P259" i="19" s="1"/>
  <c r="Q259" i="19" s="1"/>
  <c r="M258" i="19"/>
  <c r="M257" i="19"/>
  <c r="N257" i="19" s="1"/>
  <c r="P257" i="19" s="1"/>
  <c r="Q257" i="19" s="1"/>
  <c r="M256" i="19"/>
  <c r="M251" i="19"/>
  <c r="N251" i="19" s="1"/>
  <c r="P251" i="19" s="1"/>
  <c r="Q251" i="19" s="1"/>
  <c r="M250" i="19"/>
  <c r="M249" i="19"/>
  <c r="N249" i="19" s="1"/>
  <c r="P249" i="19" s="1"/>
  <c r="Q249" i="19" s="1"/>
  <c r="M248" i="19"/>
  <c r="M247" i="19"/>
  <c r="N247" i="19" s="1"/>
  <c r="P247" i="19" s="1"/>
  <c r="Q247" i="19" s="1"/>
  <c r="M242" i="19"/>
  <c r="M241" i="19"/>
  <c r="N241" i="19" s="1"/>
  <c r="P241" i="19" s="1"/>
  <c r="Q241" i="19" s="1"/>
  <c r="M240" i="19"/>
  <c r="M239" i="19"/>
  <c r="N239" i="19" s="1"/>
  <c r="P239" i="19" s="1"/>
  <c r="Q239" i="19" s="1"/>
  <c r="M238" i="19"/>
  <c r="M233" i="19"/>
  <c r="N233" i="19" s="1"/>
  <c r="P233" i="19" s="1"/>
  <c r="Q233" i="19" s="1"/>
  <c r="M232" i="19"/>
  <c r="M231" i="19"/>
  <c r="N231" i="19" s="1"/>
  <c r="P231" i="19" s="1"/>
  <c r="Q231" i="19" s="1"/>
  <c r="M230" i="19"/>
  <c r="M229" i="19"/>
  <c r="N229" i="19" s="1"/>
  <c r="P229" i="19" s="1"/>
  <c r="Q229" i="19" s="1"/>
  <c r="M224" i="19"/>
  <c r="M223" i="19"/>
  <c r="N223" i="19" s="1"/>
  <c r="P223" i="19" s="1"/>
  <c r="Q223" i="19" s="1"/>
  <c r="M222" i="19"/>
  <c r="M221" i="19"/>
  <c r="N221" i="19" s="1"/>
  <c r="P221" i="19" s="1"/>
  <c r="Q221" i="19" s="1"/>
  <c r="M220" i="19"/>
  <c r="M215" i="19"/>
  <c r="N215" i="19" s="1"/>
  <c r="P215" i="19" s="1"/>
  <c r="Q215" i="19" s="1"/>
  <c r="M214" i="19"/>
  <c r="M213" i="19"/>
  <c r="N213" i="19" s="1"/>
  <c r="P213" i="19" s="1"/>
  <c r="Q213" i="19" s="1"/>
  <c r="M212" i="19"/>
  <c r="M211" i="19"/>
  <c r="N211" i="19" s="1"/>
  <c r="P211" i="19" s="1"/>
  <c r="Q211" i="19" s="1"/>
  <c r="M206" i="19"/>
  <c r="M205" i="19"/>
  <c r="N205" i="19" s="1"/>
  <c r="P205" i="19" s="1"/>
  <c r="Q205" i="19" s="1"/>
  <c r="M204" i="19"/>
  <c r="M203" i="19"/>
  <c r="N203" i="19" s="1"/>
  <c r="P203" i="19" s="1"/>
  <c r="Q203" i="19" s="1"/>
  <c r="M202" i="19"/>
  <c r="M197" i="19"/>
  <c r="N197" i="19" s="1"/>
  <c r="P197" i="19" s="1"/>
  <c r="Q197" i="19" s="1"/>
  <c r="M196" i="19"/>
  <c r="M195" i="19"/>
  <c r="N195" i="19" s="1"/>
  <c r="P195" i="19" s="1"/>
  <c r="Q195" i="19" s="1"/>
  <c r="M194" i="19"/>
  <c r="M193" i="19"/>
  <c r="N193" i="19" s="1"/>
  <c r="P193" i="19" s="1"/>
  <c r="Q193" i="19" s="1"/>
  <c r="M188" i="19"/>
  <c r="M187" i="19"/>
  <c r="N187" i="19" s="1"/>
  <c r="P187" i="19" s="1"/>
  <c r="Q187" i="19" s="1"/>
  <c r="M186" i="19"/>
  <c r="M185" i="19"/>
  <c r="N185" i="19" s="1"/>
  <c r="P185" i="19" s="1"/>
  <c r="Q185" i="19" s="1"/>
  <c r="M184" i="19"/>
  <c r="M179" i="19"/>
  <c r="N179" i="19" s="1"/>
  <c r="P179" i="19" s="1"/>
  <c r="Q179" i="19" s="1"/>
  <c r="M178" i="19"/>
  <c r="M177" i="19"/>
  <c r="N177" i="19" s="1"/>
  <c r="P177" i="19" s="1"/>
  <c r="Q177" i="19" s="1"/>
  <c r="M176" i="19"/>
  <c r="M175" i="19"/>
  <c r="N175" i="19" s="1"/>
  <c r="P175" i="19" s="1"/>
  <c r="Q175" i="19" s="1"/>
  <c r="M170" i="19"/>
  <c r="M169" i="19"/>
  <c r="N169" i="19" s="1"/>
  <c r="P169" i="19" s="1"/>
  <c r="Q169" i="19" s="1"/>
  <c r="M168" i="19"/>
  <c r="M167" i="19"/>
  <c r="N167" i="19" s="1"/>
  <c r="P167" i="19" s="1"/>
  <c r="Q167" i="19" s="1"/>
  <c r="M166" i="19"/>
  <c r="M161" i="19"/>
  <c r="N161" i="19" s="1"/>
  <c r="P161" i="19" s="1"/>
  <c r="Q161" i="19" s="1"/>
  <c r="M160" i="19"/>
  <c r="M159" i="19"/>
  <c r="N159" i="19" s="1"/>
  <c r="P159" i="19" s="1"/>
  <c r="Q159" i="19" s="1"/>
  <c r="M158" i="19"/>
  <c r="M157" i="19"/>
  <c r="N157" i="19" s="1"/>
  <c r="P157" i="19" s="1"/>
  <c r="Q157" i="19" s="1"/>
  <c r="M152" i="19"/>
  <c r="M151" i="19"/>
  <c r="N151" i="19" s="1"/>
  <c r="P151" i="19" s="1"/>
  <c r="Q151" i="19" s="1"/>
  <c r="M150" i="19"/>
  <c r="M149" i="19"/>
  <c r="N149" i="19" s="1"/>
  <c r="P149" i="19" s="1"/>
  <c r="Q149" i="19" s="1"/>
  <c r="M148" i="19"/>
  <c r="M143" i="19"/>
  <c r="N143" i="19" s="1"/>
  <c r="P143" i="19" s="1"/>
  <c r="Q143" i="19" s="1"/>
  <c r="M142" i="19"/>
  <c r="M141" i="19"/>
  <c r="N141" i="19" s="1"/>
  <c r="P141" i="19" s="1"/>
  <c r="Q141" i="19" s="1"/>
  <c r="M140" i="19"/>
  <c r="M139" i="19"/>
  <c r="N139" i="19" s="1"/>
  <c r="P139" i="19" s="1"/>
  <c r="Q139" i="19" s="1"/>
  <c r="M134" i="19"/>
  <c r="M133" i="19"/>
  <c r="N133" i="19" s="1"/>
  <c r="P133" i="19" s="1"/>
  <c r="Q133" i="19" s="1"/>
  <c r="M132" i="19"/>
  <c r="M131" i="19"/>
  <c r="N131" i="19" s="1"/>
  <c r="P131" i="19" s="1"/>
  <c r="Q131" i="19" s="1"/>
  <c r="M130" i="19"/>
  <c r="M125" i="19"/>
  <c r="N125" i="19" s="1"/>
  <c r="P125" i="19" s="1"/>
  <c r="Q125" i="19" s="1"/>
  <c r="M124" i="19"/>
  <c r="M123" i="19"/>
  <c r="N123" i="19" s="1"/>
  <c r="P123" i="19" s="1"/>
  <c r="Q123" i="19" s="1"/>
  <c r="M122" i="19"/>
  <c r="M121" i="19"/>
  <c r="N121" i="19" s="1"/>
  <c r="P121" i="19" s="1"/>
  <c r="Q121" i="19" s="1"/>
  <c r="M116" i="19"/>
  <c r="M115" i="19"/>
  <c r="N115" i="19" s="1"/>
  <c r="P115" i="19" s="1"/>
  <c r="Q115" i="19" s="1"/>
  <c r="M114" i="19"/>
  <c r="M113" i="19"/>
  <c r="N113" i="19" s="1"/>
  <c r="P113" i="19" s="1"/>
  <c r="Q113" i="19" s="1"/>
  <c r="M112" i="19"/>
  <c r="M107" i="19"/>
  <c r="N107" i="19" s="1"/>
  <c r="P107" i="19" s="1"/>
  <c r="Q107" i="19" s="1"/>
  <c r="M106" i="19"/>
  <c r="M105" i="19"/>
  <c r="N105" i="19" s="1"/>
  <c r="P105" i="19" s="1"/>
  <c r="Q105" i="19" s="1"/>
  <c r="M104" i="19"/>
  <c r="M103" i="19"/>
  <c r="N103" i="19" s="1"/>
  <c r="P103" i="19" s="1"/>
  <c r="Q103" i="19" s="1"/>
  <c r="M98" i="19"/>
  <c r="M97" i="19"/>
  <c r="N97" i="19" s="1"/>
  <c r="P97" i="19" s="1"/>
  <c r="Q97" i="19" s="1"/>
  <c r="M96" i="19"/>
  <c r="M95" i="19"/>
  <c r="N95" i="19" s="1"/>
  <c r="P95" i="19" s="1"/>
  <c r="Q95" i="19" s="1"/>
  <c r="M94" i="19"/>
  <c r="M89" i="19"/>
  <c r="N89" i="19" s="1"/>
  <c r="P89" i="19" s="1"/>
  <c r="Q89" i="19" s="1"/>
  <c r="M88" i="19"/>
  <c r="M87" i="19"/>
  <c r="N87" i="19" s="1"/>
  <c r="P87" i="19" s="1"/>
  <c r="Q87" i="19" s="1"/>
  <c r="M86" i="19"/>
  <c r="M85" i="19"/>
  <c r="N85" i="19" s="1"/>
  <c r="P85" i="19" s="1"/>
  <c r="Q85" i="19" s="1"/>
  <c r="M80" i="19"/>
  <c r="M79" i="19"/>
  <c r="N79" i="19" s="1"/>
  <c r="P79" i="19" s="1"/>
  <c r="Q79" i="19" s="1"/>
  <c r="M78" i="19"/>
  <c r="M77" i="19"/>
  <c r="N77" i="19" s="1"/>
  <c r="P77" i="19" s="1"/>
  <c r="Q77" i="19" s="1"/>
  <c r="M76" i="19"/>
  <c r="M71" i="19"/>
  <c r="N71" i="19" s="1"/>
  <c r="P71" i="19" s="1"/>
  <c r="Q71" i="19" s="1"/>
  <c r="M70" i="19"/>
  <c r="M69" i="19"/>
  <c r="N69" i="19" s="1"/>
  <c r="P69" i="19" s="1"/>
  <c r="Q69" i="19" s="1"/>
  <c r="M68" i="19"/>
  <c r="M67" i="19"/>
  <c r="N67" i="19" s="1"/>
  <c r="P67" i="19" s="1"/>
  <c r="Q67" i="19" s="1"/>
  <c r="M62" i="19"/>
  <c r="M61" i="19"/>
  <c r="N61" i="19" s="1"/>
  <c r="P61" i="19" s="1"/>
  <c r="Q61" i="19" s="1"/>
  <c r="M60" i="19"/>
  <c r="M59" i="19"/>
  <c r="N59" i="19" s="1"/>
  <c r="P59" i="19" s="1"/>
  <c r="Q59" i="19" s="1"/>
  <c r="M58" i="19"/>
  <c r="M26" i="19"/>
  <c r="M25" i="19"/>
  <c r="N25" i="19" s="1"/>
  <c r="P25" i="19" s="1"/>
  <c r="M24" i="19"/>
  <c r="M23" i="19"/>
  <c r="N23" i="19" s="1"/>
  <c r="P23" i="19" s="1"/>
  <c r="M22" i="19"/>
  <c r="M17" i="19"/>
  <c r="N17" i="19" s="1"/>
  <c r="M16" i="19"/>
  <c r="M15" i="19"/>
  <c r="N15" i="19" s="1"/>
  <c r="M14" i="19"/>
  <c r="M13" i="19"/>
  <c r="N13" i="19" s="1"/>
  <c r="P13" i="19" s="1"/>
  <c r="M8" i="19"/>
  <c r="M7" i="19"/>
  <c r="N7" i="19" s="1"/>
  <c r="P7" i="19" s="1"/>
  <c r="M6" i="19"/>
  <c r="M5" i="19"/>
  <c r="N5" i="19" s="1"/>
  <c r="P5" i="19" s="1"/>
  <c r="M4" i="19"/>
  <c r="L477" i="18"/>
  <c r="M477" i="18" s="1"/>
  <c r="N477" i="18" s="1"/>
  <c r="P477" i="18" s="1"/>
  <c r="L476" i="18"/>
  <c r="M476" i="18" s="1"/>
  <c r="L475" i="18"/>
  <c r="M475" i="18" s="1"/>
  <c r="L474" i="18"/>
  <c r="M474" i="18" s="1"/>
  <c r="N474" i="18" s="1"/>
  <c r="P474" i="18" s="1"/>
  <c r="L473" i="18"/>
  <c r="M473" i="18" s="1"/>
  <c r="M442" i="18"/>
  <c r="N442" i="18" s="1"/>
  <c r="M443" i="18"/>
  <c r="N443" i="18" s="1"/>
  <c r="M444" i="18"/>
  <c r="N444" i="18" s="1"/>
  <c r="M445" i="18"/>
  <c r="N445" i="18" s="1"/>
  <c r="M449" i="18"/>
  <c r="N449" i="18" s="1"/>
  <c r="P449" i="18" s="1"/>
  <c r="M450" i="18"/>
  <c r="N450" i="18" s="1"/>
  <c r="P450" i="18" s="1"/>
  <c r="M451" i="18"/>
  <c r="N451" i="18" s="1"/>
  <c r="P451" i="18" s="1"/>
  <c r="Q451" i="18" s="1"/>
  <c r="M452" i="18"/>
  <c r="N452" i="18" s="1"/>
  <c r="M453" i="18"/>
  <c r="N453" i="18" s="1"/>
  <c r="P453" i="18" s="1"/>
  <c r="M457" i="18"/>
  <c r="N457" i="18" s="1"/>
  <c r="P457" i="18" s="1"/>
  <c r="Q457" i="18" s="1"/>
  <c r="M458" i="18"/>
  <c r="N458" i="18" s="1"/>
  <c r="M459" i="18"/>
  <c r="N459" i="18" s="1"/>
  <c r="P459" i="18" s="1"/>
  <c r="M460" i="18"/>
  <c r="N460" i="18" s="1"/>
  <c r="P460" i="18" s="1"/>
  <c r="Q460" i="18" s="1"/>
  <c r="M461" i="18"/>
  <c r="N461" i="18" s="1"/>
  <c r="P461" i="18" s="1"/>
  <c r="Q461" i="18" s="1"/>
  <c r="M465" i="18"/>
  <c r="N465" i="18" s="1"/>
  <c r="M466" i="18"/>
  <c r="N466" i="18" s="1"/>
  <c r="P466" i="18" s="1"/>
  <c r="M467" i="18"/>
  <c r="N467" i="18" s="1"/>
  <c r="P467" i="18" s="1"/>
  <c r="M468" i="18"/>
  <c r="N468" i="18" s="1"/>
  <c r="P468" i="18" s="1"/>
  <c r="M469" i="18"/>
  <c r="N469" i="18" s="1"/>
  <c r="P469" i="18" s="1"/>
  <c r="Q469" i="18" s="1"/>
  <c r="M441" i="18"/>
  <c r="M434" i="18"/>
  <c r="N434" i="18" s="1"/>
  <c r="P434" i="18" s="1"/>
  <c r="M435" i="18"/>
  <c r="M436" i="18"/>
  <c r="N436" i="18" s="1"/>
  <c r="P436" i="18" s="1"/>
  <c r="M437" i="18"/>
  <c r="M433" i="18"/>
  <c r="N433" i="18" s="1"/>
  <c r="P433" i="18" s="1"/>
  <c r="L428" i="18"/>
  <c r="M428" i="18" s="1"/>
  <c r="L427" i="18"/>
  <c r="M427" i="18" s="1"/>
  <c r="L426" i="18"/>
  <c r="M426" i="18" s="1"/>
  <c r="L425" i="18"/>
  <c r="M425" i="18" s="1"/>
  <c r="L424" i="18"/>
  <c r="M424" i="18" s="1"/>
  <c r="N424" i="18" s="1"/>
  <c r="P424" i="18" s="1"/>
  <c r="M420" i="18"/>
  <c r="M419" i="18"/>
  <c r="M418" i="18"/>
  <c r="M417" i="18"/>
  <c r="M416" i="18"/>
  <c r="M412" i="18"/>
  <c r="M411" i="18"/>
  <c r="M410" i="18"/>
  <c r="M409" i="18"/>
  <c r="M408" i="18"/>
  <c r="M404" i="18"/>
  <c r="M403" i="18"/>
  <c r="N403" i="18" s="1"/>
  <c r="P403" i="18" s="1"/>
  <c r="M402" i="18"/>
  <c r="M401" i="18"/>
  <c r="M400" i="18"/>
  <c r="M396" i="18"/>
  <c r="M395" i="18"/>
  <c r="M394" i="18"/>
  <c r="M393" i="18"/>
  <c r="M392" i="18"/>
  <c r="N392" i="18" s="1"/>
  <c r="P392" i="18" s="1"/>
  <c r="M388" i="18"/>
  <c r="M387" i="18"/>
  <c r="M386" i="18"/>
  <c r="M385" i="18"/>
  <c r="N385" i="18" s="1"/>
  <c r="P385" i="18" s="1"/>
  <c r="M384" i="18"/>
  <c r="M378" i="18"/>
  <c r="M380" i="18"/>
  <c r="M379" i="18"/>
  <c r="N379" i="18" s="1"/>
  <c r="P379" i="18" s="1"/>
  <c r="M377" i="18"/>
  <c r="N377" i="18" s="1"/>
  <c r="P377" i="18" s="1"/>
  <c r="M376" i="18"/>
  <c r="M372" i="18"/>
  <c r="N372" i="18" s="1"/>
  <c r="P372" i="18" s="1"/>
  <c r="M371" i="18"/>
  <c r="M370" i="18"/>
  <c r="M369" i="18"/>
  <c r="M368" i="18"/>
  <c r="N368" i="18" s="1"/>
  <c r="P368" i="18" s="1"/>
  <c r="M363" i="18"/>
  <c r="M362" i="18"/>
  <c r="M361" i="18"/>
  <c r="M360" i="18"/>
  <c r="N360" i="18" s="1"/>
  <c r="P360" i="18" s="1"/>
  <c r="M359" i="18"/>
  <c r="M355" i="18"/>
  <c r="N355" i="18" s="1"/>
  <c r="P355" i="18" s="1"/>
  <c r="M354" i="18"/>
  <c r="M353" i="18"/>
  <c r="N353" i="18" s="1"/>
  <c r="P353" i="18" s="1"/>
  <c r="M352" i="18"/>
  <c r="M351" i="18"/>
  <c r="N351" i="18" s="1"/>
  <c r="P351" i="18" s="1"/>
  <c r="M346" i="18"/>
  <c r="M345" i="18"/>
  <c r="M344" i="18"/>
  <c r="M343" i="18"/>
  <c r="N343" i="18" s="1"/>
  <c r="P343" i="18" s="1"/>
  <c r="M342" i="18"/>
  <c r="M338" i="18"/>
  <c r="N338" i="18" s="1"/>
  <c r="P338" i="18" s="1"/>
  <c r="M337" i="18"/>
  <c r="M336" i="18"/>
  <c r="N336" i="18" s="1"/>
  <c r="P336" i="18" s="1"/>
  <c r="M335" i="18"/>
  <c r="M334" i="18"/>
  <c r="M317" i="18"/>
  <c r="M329" i="18"/>
  <c r="M328" i="18"/>
  <c r="N328" i="18" s="1"/>
  <c r="P328" i="18" s="1"/>
  <c r="M327" i="18"/>
  <c r="M326" i="18"/>
  <c r="N326" i="18" s="1"/>
  <c r="P326" i="18" s="1"/>
  <c r="M325" i="18"/>
  <c r="M321" i="18"/>
  <c r="N321" i="18" s="1"/>
  <c r="P321" i="18" s="1"/>
  <c r="M320" i="18"/>
  <c r="M319" i="18"/>
  <c r="M318" i="18"/>
  <c r="M482" i="18"/>
  <c r="N482" i="18" s="1"/>
  <c r="P482" i="18" s="1"/>
  <c r="Q482" i="18" s="1"/>
  <c r="M483" i="18"/>
  <c r="N483" i="18" s="1"/>
  <c r="P483" i="18" s="1"/>
  <c r="M484" i="18"/>
  <c r="N484" i="18" s="1"/>
  <c r="P484" i="18" s="1"/>
  <c r="Q484" i="18" s="1"/>
  <c r="M485" i="18"/>
  <c r="M486" i="18"/>
  <c r="N486" i="18" s="1"/>
  <c r="P486" i="18" s="1"/>
  <c r="Q486" i="18" s="1"/>
  <c r="M491" i="18"/>
  <c r="N491" i="18" s="1"/>
  <c r="P491" i="18" s="1"/>
  <c r="Q491" i="18" s="1"/>
  <c r="M492" i="18"/>
  <c r="N492" i="18" s="1"/>
  <c r="P492" i="18" s="1"/>
  <c r="Q492" i="18" s="1"/>
  <c r="M493" i="18"/>
  <c r="N493" i="18" s="1"/>
  <c r="P493" i="18" s="1"/>
  <c r="M494" i="18"/>
  <c r="N494" i="18" s="1"/>
  <c r="P494" i="18" s="1"/>
  <c r="M299" i="18"/>
  <c r="N299" i="18" s="1"/>
  <c r="P299" i="18" s="1"/>
  <c r="L294" i="18"/>
  <c r="M294" i="18" s="1"/>
  <c r="L293" i="18"/>
  <c r="M293" i="18" s="1"/>
  <c r="L292" i="18"/>
  <c r="M292" i="18" s="1"/>
  <c r="L291" i="18"/>
  <c r="M291" i="18" s="1"/>
  <c r="L290" i="18"/>
  <c r="M290" i="18" s="1"/>
  <c r="N290" i="18" s="1"/>
  <c r="P290" i="18" s="1"/>
  <c r="Q290" i="18" s="1"/>
  <c r="M286" i="18"/>
  <c r="M285" i="18"/>
  <c r="N285" i="18" s="1"/>
  <c r="P285" i="18" s="1"/>
  <c r="Q285" i="18" s="1"/>
  <c r="M284" i="18"/>
  <c r="M283" i="18"/>
  <c r="N283" i="18" s="1"/>
  <c r="P283" i="18" s="1"/>
  <c r="Q283" i="18" s="1"/>
  <c r="M282" i="18"/>
  <c r="M278" i="18"/>
  <c r="N278" i="18" s="1"/>
  <c r="P278" i="18" s="1"/>
  <c r="Q278" i="18" s="1"/>
  <c r="M277" i="18"/>
  <c r="M276" i="18"/>
  <c r="N276" i="18" s="1"/>
  <c r="P276" i="18" s="1"/>
  <c r="M275" i="18"/>
  <c r="M274" i="18"/>
  <c r="N274" i="18" s="1"/>
  <c r="P274" i="18" s="1"/>
  <c r="M270" i="18"/>
  <c r="M269" i="18"/>
  <c r="M268" i="18"/>
  <c r="M267" i="18"/>
  <c r="N267" i="18" s="1"/>
  <c r="P267" i="18" s="1"/>
  <c r="M266" i="18"/>
  <c r="M262" i="18"/>
  <c r="M261" i="18"/>
  <c r="M260" i="18"/>
  <c r="N260" i="18" s="1"/>
  <c r="P260" i="18" s="1"/>
  <c r="M259" i="18"/>
  <c r="M258" i="18"/>
  <c r="M254" i="18"/>
  <c r="M253" i="18"/>
  <c r="M252" i="18"/>
  <c r="M251" i="18"/>
  <c r="M250" i="18"/>
  <c r="L246" i="18"/>
  <c r="L245" i="18"/>
  <c r="L244" i="18"/>
  <c r="L243" i="18"/>
  <c r="L242" i="18"/>
  <c r="M21" i="18"/>
  <c r="N21" i="18" s="1"/>
  <c r="P21" i="18" s="1"/>
  <c r="M14" i="18"/>
  <c r="N14" i="18" s="1"/>
  <c r="P14" i="18" s="1"/>
  <c r="M15" i="18"/>
  <c r="N15" i="18" s="1"/>
  <c r="P15" i="18" s="1"/>
  <c r="M16" i="18"/>
  <c r="N16" i="18" s="1"/>
  <c r="P16" i="18" s="1"/>
  <c r="M17" i="18"/>
  <c r="N17" i="18" s="1"/>
  <c r="P17" i="18" s="1"/>
  <c r="M13" i="18"/>
  <c r="N13" i="18" s="1"/>
  <c r="P13" i="18" s="1"/>
  <c r="M8" i="18"/>
  <c r="P443" i="18" l="1"/>
  <c r="Q443" i="18" s="1"/>
  <c r="P442" i="18"/>
  <c r="Q442" i="18" s="1"/>
  <c r="P445" i="18"/>
  <c r="Q445" i="18" s="1"/>
  <c r="P444" i="18"/>
  <c r="Q444" i="18" s="1"/>
  <c r="P17" i="19"/>
  <c r="Q17" i="19" s="1"/>
  <c r="P15" i="19"/>
  <c r="Q15" i="19" s="1"/>
  <c r="Q7" i="19"/>
  <c r="Q5" i="19"/>
  <c r="P33" i="19"/>
  <c r="Q33" i="19" s="1"/>
  <c r="P31" i="19"/>
  <c r="Q31" i="19" s="1"/>
  <c r="P35" i="19"/>
  <c r="Q35" i="19" s="1"/>
  <c r="N314" i="19"/>
  <c r="P314" i="19" s="1"/>
  <c r="Q314" i="19" s="1"/>
  <c r="N307" i="19"/>
  <c r="P307" i="19" s="1"/>
  <c r="Q307" i="19" s="1"/>
  <c r="N309" i="19"/>
  <c r="P309" i="19" s="1"/>
  <c r="Q309" i="19" s="1"/>
  <c r="N302" i="19"/>
  <c r="P302" i="19" s="1"/>
  <c r="Q302" i="19" s="1"/>
  <c r="N300" i="19"/>
  <c r="P300" i="19" s="1"/>
  <c r="Q300" i="19" s="1"/>
  <c r="N293" i="19"/>
  <c r="P293" i="19" s="1"/>
  <c r="Q293" i="19" s="1"/>
  <c r="N298" i="19"/>
  <c r="N291" i="19"/>
  <c r="N286" i="19"/>
  <c r="N284" i="19"/>
  <c r="N282" i="19"/>
  <c r="N275" i="19"/>
  <c r="P275" i="19" s="1"/>
  <c r="Q275" i="19" s="1"/>
  <c r="N277" i="19"/>
  <c r="N315" i="19"/>
  <c r="N316" i="19"/>
  <c r="N317" i="19"/>
  <c r="N318" i="19"/>
  <c r="N274" i="19"/>
  <c r="N276" i="19"/>
  <c r="N278" i="19"/>
  <c r="N283" i="19"/>
  <c r="N285" i="19"/>
  <c r="N290" i="19"/>
  <c r="P290" i="19" s="1"/>
  <c r="Q290" i="19" s="1"/>
  <c r="N292" i="19"/>
  <c r="N294" i="19"/>
  <c r="N299" i="19"/>
  <c r="N301" i="19"/>
  <c r="N306" i="19"/>
  <c r="N308" i="19"/>
  <c r="N310" i="19"/>
  <c r="N22" i="19"/>
  <c r="N68" i="19"/>
  <c r="P68" i="19" s="1"/>
  <c r="Q68" i="19" s="1"/>
  <c r="N96" i="19"/>
  <c r="P96" i="19" s="1"/>
  <c r="Q96" i="19" s="1"/>
  <c r="N124" i="19"/>
  <c r="P124" i="19" s="1"/>
  <c r="Q124" i="19" s="1"/>
  <c r="N8" i="19"/>
  <c r="P8" i="19" s="1"/>
  <c r="Q25" i="19"/>
  <c r="N58" i="19"/>
  <c r="P58" i="19" s="1"/>
  <c r="Q58" i="19" s="1"/>
  <c r="N86" i="19"/>
  <c r="P86" i="19" s="1"/>
  <c r="Q86" i="19" s="1"/>
  <c r="N114" i="19"/>
  <c r="P114" i="19" s="1"/>
  <c r="Q114" i="19" s="1"/>
  <c r="N132" i="19"/>
  <c r="P132" i="19" s="1"/>
  <c r="Q132" i="19" s="1"/>
  <c r="N140" i="19"/>
  <c r="P140" i="19" s="1"/>
  <c r="Q140" i="19" s="1"/>
  <c r="N148" i="19"/>
  <c r="P148" i="19" s="1"/>
  <c r="Q148" i="19" s="1"/>
  <c r="N152" i="19"/>
  <c r="P152" i="19" s="1"/>
  <c r="Q152" i="19" s="1"/>
  <c r="N160" i="19"/>
  <c r="P160" i="19" s="1"/>
  <c r="Q160" i="19" s="1"/>
  <c r="N168" i="19"/>
  <c r="P168" i="19" s="1"/>
  <c r="Q168" i="19" s="1"/>
  <c r="N176" i="19"/>
  <c r="P176" i="19" s="1"/>
  <c r="Q176" i="19" s="1"/>
  <c r="N26" i="19"/>
  <c r="N76" i="19"/>
  <c r="P76" i="19" s="1"/>
  <c r="Q76" i="19" s="1"/>
  <c r="N104" i="19"/>
  <c r="P104" i="19" s="1"/>
  <c r="Q104" i="19" s="1"/>
  <c r="N4" i="19"/>
  <c r="P4" i="19" s="1"/>
  <c r="N94" i="19"/>
  <c r="P94" i="19" s="1"/>
  <c r="Q94" i="19" s="1"/>
  <c r="N122" i="19"/>
  <c r="P122" i="19" s="1"/>
  <c r="Q122" i="19" s="1"/>
  <c r="N16" i="19"/>
  <c r="N62" i="19"/>
  <c r="P62" i="19" s="1"/>
  <c r="Q62" i="19" s="1"/>
  <c r="N6" i="19"/>
  <c r="P6" i="19" s="1"/>
  <c r="Q23" i="19"/>
  <c r="N80" i="19"/>
  <c r="P80" i="19" s="1"/>
  <c r="Q80" i="19" s="1"/>
  <c r="N112" i="19"/>
  <c r="P112" i="19" s="1"/>
  <c r="Q112" i="19" s="1"/>
  <c r="N106" i="19"/>
  <c r="P106" i="19" s="1"/>
  <c r="Q106" i="19" s="1"/>
  <c r="Q13" i="19"/>
  <c r="N24" i="19"/>
  <c r="N70" i="19"/>
  <c r="P70" i="19" s="1"/>
  <c r="Q70" i="19" s="1"/>
  <c r="N98" i="19"/>
  <c r="P98" i="19" s="1"/>
  <c r="Q98" i="19" s="1"/>
  <c r="N130" i="19"/>
  <c r="P130" i="19" s="1"/>
  <c r="Q130" i="19" s="1"/>
  <c r="N134" i="19"/>
  <c r="P134" i="19" s="1"/>
  <c r="Q134" i="19" s="1"/>
  <c r="N142" i="19"/>
  <c r="P142" i="19" s="1"/>
  <c r="Q142" i="19" s="1"/>
  <c r="N150" i="19"/>
  <c r="P150" i="19" s="1"/>
  <c r="Q150" i="19" s="1"/>
  <c r="N158" i="19"/>
  <c r="P158" i="19" s="1"/>
  <c r="Q158" i="19" s="1"/>
  <c r="N166" i="19"/>
  <c r="P166" i="19" s="1"/>
  <c r="Q166" i="19" s="1"/>
  <c r="N170" i="19"/>
  <c r="P170" i="19" s="1"/>
  <c r="Q170" i="19" s="1"/>
  <c r="N178" i="19"/>
  <c r="P178" i="19" s="1"/>
  <c r="Q178" i="19" s="1"/>
  <c r="N78" i="19"/>
  <c r="P78" i="19" s="1"/>
  <c r="Q78" i="19" s="1"/>
  <c r="N14" i="19"/>
  <c r="N60" i="19"/>
  <c r="P60" i="19" s="1"/>
  <c r="Q60" i="19" s="1"/>
  <c r="N88" i="19"/>
  <c r="P88" i="19" s="1"/>
  <c r="Q88" i="19" s="1"/>
  <c r="N116" i="19"/>
  <c r="P116" i="19" s="1"/>
  <c r="Q116" i="19" s="1"/>
  <c r="N184" i="19"/>
  <c r="P184" i="19" s="1"/>
  <c r="Q184" i="19" s="1"/>
  <c r="N186" i="19"/>
  <c r="P186" i="19" s="1"/>
  <c r="Q186" i="19" s="1"/>
  <c r="N188" i="19"/>
  <c r="P188" i="19" s="1"/>
  <c r="Q188" i="19" s="1"/>
  <c r="N194" i="19"/>
  <c r="P194" i="19" s="1"/>
  <c r="Q194" i="19" s="1"/>
  <c r="N196" i="19"/>
  <c r="P196" i="19" s="1"/>
  <c r="Q196" i="19" s="1"/>
  <c r="N202" i="19"/>
  <c r="P202" i="19" s="1"/>
  <c r="Q202" i="19" s="1"/>
  <c r="N204" i="19"/>
  <c r="P204" i="19" s="1"/>
  <c r="Q204" i="19" s="1"/>
  <c r="N206" i="19"/>
  <c r="P206" i="19" s="1"/>
  <c r="Q206" i="19" s="1"/>
  <c r="N212" i="19"/>
  <c r="P212" i="19" s="1"/>
  <c r="Q212" i="19" s="1"/>
  <c r="N214" i="19"/>
  <c r="P214" i="19" s="1"/>
  <c r="Q214" i="19" s="1"/>
  <c r="N220" i="19"/>
  <c r="P220" i="19" s="1"/>
  <c r="Q220" i="19" s="1"/>
  <c r="N222" i="19"/>
  <c r="P222" i="19" s="1"/>
  <c r="Q222" i="19" s="1"/>
  <c r="N224" i="19"/>
  <c r="P224" i="19" s="1"/>
  <c r="Q224" i="19" s="1"/>
  <c r="N230" i="19"/>
  <c r="P230" i="19" s="1"/>
  <c r="Q230" i="19" s="1"/>
  <c r="N232" i="19"/>
  <c r="P232" i="19" s="1"/>
  <c r="Q232" i="19" s="1"/>
  <c r="N238" i="19"/>
  <c r="P238" i="19" s="1"/>
  <c r="Q238" i="19" s="1"/>
  <c r="N240" i="19"/>
  <c r="P240" i="19" s="1"/>
  <c r="Q240" i="19" s="1"/>
  <c r="N242" i="19"/>
  <c r="P242" i="19" s="1"/>
  <c r="Q242" i="19" s="1"/>
  <c r="N248" i="19"/>
  <c r="P248" i="19" s="1"/>
  <c r="Q248" i="19" s="1"/>
  <c r="N250" i="19"/>
  <c r="P250" i="19" s="1"/>
  <c r="Q250" i="19" s="1"/>
  <c r="N256" i="19"/>
  <c r="P256" i="19" s="1"/>
  <c r="Q256" i="19" s="1"/>
  <c r="N258" i="19"/>
  <c r="P258" i="19" s="1"/>
  <c r="Q258" i="19" s="1"/>
  <c r="N260" i="19"/>
  <c r="P260" i="19" s="1"/>
  <c r="Q260" i="19" s="1"/>
  <c r="N266" i="19"/>
  <c r="P266" i="19" s="1"/>
  <c r="Q266" i="19" s="1"/>
  <c r="N268" i="19"/>
  <c r="P268" i="19" s="1"/>
  <c r="Q268" i="19" s="1"/>
  <c r="Q467" i="18"/>
  <c r="P465" i="18"/>
  <c r="Q465" i="18" s="1"/>
  <c r="P458" i="18"/>
  <c r="Q458" i="18" s="1"/>
  <c r="Q450" i="18"/>
  <c r="P452" i="18"/>
  <c r="Q452" i="18" s="1"/>
  <c r="Q453" i="18"/>
  <c r="Q459" i="18"/>
  <c r="Q449" i="18"/>
  <c r="Q468" i="18"/>
  <c r="Q466" i="18"/>
  <c r="N441" i="18"/>
  <c r="P441" i="18" s="1"/>
  <c r="Q434" i="18"/>
  <c r="N437" i="18"/>
  <c r="P437" i="18" s="1"/>
  <c r="N435" i="18"/>
  <c r="P435" i="18" s="1"/>
  <c r="Q433" i="18"/>
  <c r="N476" i="18"/>
  <c r="Q477" i="18"/>
  <c r="Q436" i="18"/>
  <c r="Q474" i="18"/>
  <c r="N473" i="18"/>
  <c r="N475" i="18"/>
  <c r="N419" i="18"/>
  <c r="P419" i="18" s="1"/>
  <c r="Q419" i="18" s="1"/>
  <c r="N417" i="18"/>
  <c r="P417" i="18" s="1"/>
  <c r="Q417" i="18" s="1"/>
  <c r="N410" i="18"/>
  <c r="P410" i="18" s="1"/>
  <c r="Q410" i="18" s="1"/>
  <c r="N408" i="18"/>
  <c r="P408" i="18" s="1"/>
  <c r="Q408" i="18" s="1"/>
  <c r="N412" i="18"/>
  <c r="P412" i="18" s="1"/>
  <c r="Q412" i="18" s="1"/>
  <c r="Q403" i="18"/>
  <c r="N401" i="18"/>
  <c r="P401" i="18" s="1"/>
  <c r="Q401" i="18" s="1"/>
  <c r="N396" i="18"/>
  <c r="P396" i="18" s="1"/>
  <c r="Q396" i="18" s="1"/>
  <c r="Q392" i="18"/>
  <c r="N394" i="18"/>
  <c r="P394" i="18" s="1"/>
  <c r="Q394" i="18" s="1"/>
  <c r="Q385" i="18"/>
  <c r="N387" i="18"/>
  <c r="P387" i="18" s="1"/>
  <c r="Q387" i="18" s="1"/>
  <c r="Q424" i="18"/>
  <c r="N425" i="18"/>
  <c r="P425" i="18" s="1"/>
  <c r="Q425" i="18" s="1"/>
  <c r="N426" i="18"/>
  <c r="P426" i="18" s="1"/>
  <c r="Q426" i="18" s="1"/>
  <c r="N427" i="18"/>
  <c r="P427" i="18" s="1"/>
  <c r="Q427" i="18" s="1"/>
  <c r="N428" i="18"/>
  <c r="P428" i="18" s="1"/>
  <c r="Q428" i="18" s="1"/>
  <c r="N384" i="18"/>
  <c r="P384" i="18" s="1"/>
  <c r="Q384" i="18" s="1"/>
  <c r="N386" i="18"/>
  <c r="P386" i="18" s="1"/>
  <c r="Q386" i="18" s="1"/>
  <c r="N388" i="18"/>
  <c r="P388" i="18" s="1"/>
  <c r="Q388" i="18" s="1"/>
  <c r="N393" i="18"/>
  <c r="P393" i="18" s="1"/>
  <c r="Q393" i="18" s="1"/>
  <c r="N395" i="18"/>
  <c r="P395" i="18" s="1"/>
  <c r="Q395" i="18" s="1"/>
  <c r="N400" i="18"/>
  <c r="P400" i="18" s="1"/>
  <c r="Q400" i="18" s="1"/>
  <c r="N402" i="18"/>
  <c r="P402" i="18" s="1"/>
  <c r="Q402" i="18" s="1"/>
  <c r="N404" i="18"/>
  <c r="P404" i="18" s="1"/>
  <c r="Q404" i="18" s="1"/>
  <c r="N409" i="18"/>
  <c r="P409" i="18" s="1"/>
  <c r="Q409" i="18" s="1"/>
  <c r="N411" i="18"/>
  <c r="P411" i="18" s="1"/>
  <c r="Q411" i="18" s="1"/>
  <c r="N416" i="18"/>
  <c r="P416" i="18" s="1"/>
  <c r="Q416" i="18" s="1"/>
  <c r="N418" i="18"/>
  <c r="P418" i="18" s="1"/>
  <c r="Q418" i="18" s="1"/>
  <c r="N420" i="18"/>
  <c r="P420" i="18" s="1"/>
  <c r="Q420" i="18" s="1"/>
  <c r="N370" i="18"/>
  <c r="P370" i="18" s="1"/>
  <c r="Q370" i="18" s="1"/>
  <c r="Q379" i="18"/>
  <c r="Q368" i="18"/>
  <c r="Q377" i="18"/>
  <c r="Q372" i="18"/>
  <c r="N369" i="18"/>
  <c r="P369" i="18" s="1"/>
  <c r="Q369" i="18" s="1"/>
  <c r="N371" i="18"/>
  <c r="P371" i="18" s="1"/>
  <c r="Q371" i="18" s="1"/>
  <c r="N376" i="18"/>
  <c r="P376" i="18" s="1"/>
  <c r="Q376" i="18" s="1"/>
  <c r="N378" i="18"/>
  <c r="P378" i="18" s="1"/>
  <c r="Q378" i="18" s="1"/>
  <c r="N380" i="18"/>
  <c r="P380" i="18" s="1"/>
  <c r="Q380" i="18" s="1"/>
  <c r="N362" i="18"/>
  <c r="P362" i="18" s="1"/>
  <c r="Q362" i="18" s="1"/>
  <c r="Q351" i="18"/>
  <c r="Q360" i="18"/>
  <c r="Q353" i="18"/>
  <c r="Q355" i="18"/>
  <c r="N352" i="18"/>
  <c r="P352" i="18" s="1"/>
  <c r="Q352" i="18" s="1"/>
  <c r="N354" i="18"/>
  <c r="P354" i="18" s="1"/>
  <c r="Q354" i="18" s="1"/>
  <c r="N359" i="18"/>
  <c r="P359" i="18" s="1"/>
  <c r="Q359" i="18" s="1"/>
  <c r="N361" i="18"/>
  <c r="P361" i="18" s="1"/>
  <c r="Q361" i="18" s="1"/>
  <c r="N363" i="18"/>
  <c r="P363" i="18" s="1"/>
  <c r="Q363" i="18" s="1"/>
  <c r="Q343" i="18"/>
  <c r="N345" i="18"/>
  <c r="P345" i="18" s="1"/>
  <c r="Q345" i="18" s="1"/>
  <c r="N334" i="18"/>
  <c r="P334" i="18" s="1"/>
  <c r="Q334" i="18" s="1"/>
  <c r="Q336" i="18"/>
  <c r="Q338" i="18"/>
  <c r="N335" i="18"/>
  <c r="P335" i="18" s="1"/>
  <c r="Q335" i="18" s="1"/>
  <c r="N337" i="18"/>
  <c r="P337" i="18" s="1"/>
  <c r="Q337" i="18" s="1"/>
  <c r="N342" i="18"/>
  <c r="P342" i="18" s="1"/>
  <c r="Q342" i="18" s="1"/>
  <c r="N344" i="18"/>
  <c r="P344" i="18" s="1"/>
  <c r="Q344" i="18" s="1"/>
  <c r="N346" i="18"/>
  <c r="P346" i="18" s="1"/>
  <c r="Q346" i="18" s="1"/>
  <c r="N317" i="18"/>
  <c r="P317" i="18" s="1"/>
  <c r="Q317" i="18" s="1"/>
  <c r="N319" i="18"/>
  <c r="P319" i="18" s="1"/>
  <c r="Q319" i="18" s="1"/>
  <c r="Q326" i="18"/>
  <c r="Q328" i="18"/>
  <c r="Q321" i="18"/>
  <c r="N485" i="18"/>
  <c r="P485" i="18" s="1"/>
  <c r="Q485" i="18" s="1"/>
  <c r="Q483" i="18"/>
  <c r="Q493" i="18"/>
  <c r="N318" i="18"/>
  <c r="P318" i="18" s="1"/>
  <c r="Q318" i="18" s="1"/>
  <c r="N320" i="18"/>
  <c r="P320" i="18" s="1"/>
  <c r="Q320" i="18" s="1"/>
  <c r="N325" i="18"/>
  <c r="P325" i="18" s="1"/>
  <c r="Q325" i="18" s="1"/>
  <c r="N327" i="18"/>
  <c r="P327" i="18" s="1"/>
  <c r="Q327" i="18" s="1"/>
  <c r="N329" i="18"/>
  <c r="P329" i="18" s="1"/>
  <c r="Q329" i="18" s="1"/>
  <c r="Q494" i="18"/>
  <c r="N262" i="18"/>
  <c r="P262" i="18" s="1"/>
  <c r="Q262" i="18" s="1"/>
  <c r="Q260" i="18"/>
  <c r="Q267" i="18"/>
  <c r="Q274" i="18"/>
  <c r="Q276" i="18"/>
  <c r="N258" i="18"/>
  <c r="P258" i="18" s="1"/>
  <c r="Q258" i="18" s="1"/>
  <c r="N269" i="18"/>
  <c r="P269" i="18" s="1"/>
  <c r="Q269" i="18" s="1"/>
  <c r="N291" i="18"/>
  <c r="P291" i="18" s="1"/>
  <c r="Q291" i="18" s="1"/>
  <c r="N292" i="18"/>
  <c r="P292" i="18" s="1"/>
  <c r="Q292" i="18" s="1"/>
  <c r="N293" i="18"/>
  <c r="P293" i="18" s="1"/>
  <c r="Q293" i="18" s="1"/>
  <c r="N294" i="18"/>
  <c r="P294" i="18" s="1"/>
  <c r="Q294" i="18" s="1"/>
  <c r="N251" i="18"/>
  <c r="P251" i="18" s="1"/>
  <c r="Q251" i="18" s="1"/>
  <c r="N253" i="18"/>
  <c r="P253" i="18" s="1"/>
  <c r="Q253" i="18" s="1"/>
  <c r="N250" i="18"/>
  <c r="P250" i="18" s="1"/>
  <c r="Q250" i="18" s="1"/>
  <c r="N252" i="18"/>
  <c r="P252" i="18" s="1"/>
  <c r="Q252" i="18" s="1"/>
  <c r="N254" i="18"/>
  <c r="P254" i="18" s="1"/>
  <c r="Q254" i="18" s="1"/>
  <c r="N259" i="18"/>
  <c r="P259" i="18" s="1"/>
  <c r="Q259" i="18" s="1"/>
  <c r="N261" i="18"/>
  <c r="P261" i="18" s="1"/>
  <c r="Q261" i="18" s="1"/>
  <c r="N266" i="18"/>
  <c r="P266" i="18" s="1"/>
  <c r="Q266" i="18" s="1"/>
  <c r="N268" i="18"/>
  <c r="P268" i="18" s="1"/>
  <c r="Q268" i="18" s="1"/>
  <c r="N270" i="18"/>
  <c r="P270" i="18" s="1"/>
  <c r="Q270" i="18" s="1"/>
  <c r="N275" i="18"/>
  <c r="P275" i="18" s="1"/>
  <c r="Q275" i="18" s="1"/>
  <c r="N277" i="18"/>
  <c r="P277" i="18" s="1"/>
  <c r="Q277" i="18" s="1"/>
  <c r="N282" i="18"/>
  <c r="P282" i="18" s="1"/>
  <c r="Q282" i="18" s="1"/>
  <c r="N284" i="18"/>
  <c r="P284" i="18" s="1"/>
  <c r="Q284" i="18" s="1"/>
  <c r="N286" i="18"/>
  <c r="P286" i="18" s="1"/>
  <c r="Q286" i="18" s="1"/>
  <c r="P16" i="19" l="1"/>
  <c r="Q16" i="19" s="1"/>
  <c r="P14" i="19"/>
  <c r="Q14" i="19" s="1"/>
  <c r="Q8" i="19"/>
  <c r="Q6" i="19"/>
  <c r="Q4" i="19"/>
  <c r="P24" i="19"/>
  <c r="Q24" i="19" s="1"/>
  <c r="P26" i="19"/>
  <c r="Q26" i="19" s="1"/>
  <c r="P22" i="19"/>
  <c r="Q22" i="19" s="1"/>
  <c r="P34" i="19"/>
  <c r="Q34" i="19" s="1"/>
  <c r="P32" i="19"/>
  <c r="Q32" i="19" s="1"/>
  <c r="P291" i="19"/>
  <c r="Q291" i="19" s="1"/>
  <c r="P294" i="19"/>
  <c r="Q294" i="19" s="1"/>
  <c r="P292" i="19"/>
  <c r="Q292" i="19" s="1"/>
  <c r="P283" i="19"/>
  <c r="Q283" i="19" s="1"/>
  <c r="P282" i="19"/>
  <c r="Q282" i="19" s="1"/>
  <c r="P284" i="19"/>
  <c r="Q284" i="19" s="1"/>
  <c r="P285" i="19"/>
  <c r="Q285" i="19" s="1"/>
  <c r="P286" i="19"/>
  <c r="Q286" i="19" s="1"/>
  <c r="P278" i="19"/>
  <c r="Q278" i="19" s="1"/>
  <c r="P277" i="19"/>
  <c r="Q277" i="19" s="1"/>
  <c r="P276" i="19"/>
  <c r="Q276" i="19" s="1"/>
  <c r="P274" i="19"/>
  <c r="Q274" i="19" s="1"/>
  <c r="P318" i="19"/>
  <c r="Q318" i="19" s="1"/>
  <c r="P315" i="19"/>
  <c r="Q315" i="19" s="1"/>
  <c r="P317" i="19"/>
  <c r="Q317" i="19" s="1"/>
  <c r="P316" i="19"/>
  <c r="Q316" i="19" s="1"/>
  <c r="P308" i="19"/>
  <c r="Q308" i="19" s="1"/>
  <c r="P306" i="19"/>
  <c r="Q306" i="19" s="1"/>
  <c r="P310" i="19"/>
  <c r="Q310" i="19" s="1"/>
  <c r="P298" i="19"/>
  <c r="Q298" i="19" s="1"/>
  <c r="P301" i="19"/>
  <c r="Q301" i="19" s="1"/>
  <c r="P299" i="19"/>
  <c r="Q299" i="19" s="1"/>
  <c r="P475" i="18"/>
  <c r="Q475" i="18" s="1"/>
  <c r="P473" i="18"/>
  <c r="Q473" i="18" s="1"/>
  <c r="P476" i="18"/>
  <c r="Q476" i="18" s="1"/>
  <c r="Q441" i="18"/>
  <c r="Q435" i="18"/>
  <c r="Q437" i="18"/>
  <c r="M210" i="18" l="1"/>
  <c r="M203" i="18"/>
  <c r="N203" i="18" s="1"/>
  <c r="M204" i="18"/>
  <c r="N204" i="18" s="1"/>
  <c r="M205" i="18"/>
  <c r="N205" i="18" s="1"/>
  <c r="M206" i="18"/>
  <c r="N206" i="18" s="1"/>
  <c r="P206" i="18" s="1"/>
  <c r="Q206" i="18" s="1"/>
  <c r="M202" i="18"/>
  <c r="N202" i="18" s="1"/>
  <c r="M187" i="18"/>
  <c r="N187" i="18" s="1"/>
  <c r="M188" i="18"/>
  <c r="N188" i="18" s="1"/>
  <c r="M189" i="18"/>
  <c r="N189" i="18" s="1"/>
  <c r="M190" i="18"/>
  <c r="N190" i="18" s="1"/>
  <c r="M186" i="18"/>
  <c r="N186" i="18" s="1"/>
  <c r="M146" i="18"/>
  <c r="N146" i="18" s="1"/>
  <c r="M139" i="18"/>
  <c r="N139" i="18" s="1"/>
  <c r="M140" i="18"/>
  <c r="N140" i="18" s="1"/>
  <c r="M141" i="18"/>
  <c r="N141" i="18" s="1"/>
  <c r="M142" i="18"/>
  <c r="N142" i="18" s="1"/>
  <c r="M138" i="18"/>
  <c r="N138" i="18" s="1"/>
  <c r="P138" i="18" s="1"/>
  <c r="M96" i="18"/>
  <c r="N96" i="18" s="1"/>
  <c r="M89" i="18"/>
  <c r="N89" i="18" s="1"/>
  <c r="M90" i="18"/>
  <c r="N90" i="18" s="1"/>
  <c r="M91" i="18"/>
  <c r="N91" i="18" s="1"/>
  <c r="M92" i="18"/>
  <c r="N92" i="18" s="1"/>
  <c r="M88" i="18"/>
  <c r="N88" i="18" s="1"/>
  <c r="P88" i="18" s="1"/>
  <c r="M80" i="18"/>
  <c r="N80" i="18" s="1"/>
  <c r="P80" i="18" s="1"/>
  <c r="M81" i="18"/>
  <c r="N81" i="18" s="1"/>
  <c r="P81" i="18" s="1"/>
  <c r="M82" i="18"/>
  <c r="N82" i="18" s="1"/>
  <c r="P82" i="18" s="1"/>
  <c r="M83" i="18"/>
  <c r="N83" i="18" s="1"/>
  <c r="P83" i="18" s="1"/>
  <c r="M79" i="18"/>
  <c r="N8" i="18"/>
  <c r="P8" i="18" s="1"/>
  <c r="M6" i="18"/>
  <c r="N6" i="18" s="1"/>
  <c r="P6" i="18" s="1"/>
  <c r="M7" i="18"/>
  <c r="N7" i="18" s="1"/>
  <c r="M9" i="18"/>
  <c r="N9" i="18" s="1"/>
  <c r="M5" i="18"/>
  <c r="N5" i="18" s="1"/>
  <c r="P5" i="18" s="1"/>
  <c r="M170" i="18"/>
  <c r="M246" i="18"/>
  <c r="M245" i="18"/>
  <c r="M244" i="18"/>
  <c r="M243" i="18"/>
  <c r="M242" i="18"/>
  <c r="N242" i="18" s="1"/>
  <c r="P242" i="18" s="1"/>
  <c r="M238" i="18"/>
  <c r="M237" i="18"/>
  <c r="N237" i="18" s="1"/>
  <c r="M236" i="18"/>
  <c r="M235" i="18"/>
  <c r="M234" i="18"/>
  <c r="M230" i="18"/>
  <c r="M229" i="18"/>
  <c r="N229" i="18" s="1"/>
  <c r="M228" i="18"/>
  <c r="M227" i="18"/>
  <c r="N227" i="18" s="1"/>
  <c r="M226" i="18"/>
  <c r="M222" i="18"/>
  <c r="N222" i="18" s="1"/>
  <c r="M221" i="18"/>
  <c r="M220" i="18"/>
  <c r="N220" i="18" s="1"/>
  <c r="M219" i="18"/>
  <c r="M218" i="18"/>
  <c r="N218" i="18" s="1"/>
  <c r="M214" i="18"/>
  <c r="M213" i="18"/>
  <c r="N213" i="18" s="1"/>
  <c r="M212" i="18"/>
  <c r="M211" i="18"/>
  <c r="N211" i="18" s="1"/>
  <c r="M195" i="18"/>
  <c r="N195" i="18" s="1"/>
  <c r="M196" i="18"/>
  <c r="N196" i="18" s="1"/>
  <c r="M197" i="18"/>
  <c r="N197" i="18" s="1"/>
  <c r="M198" i="18"/>
  <c r="N198" i="18" s="1"/>
  <c r="M194" i="18"/>
  <c r="N194" i="18" s="1"/>
  <c r="M147" i="18"/>
  <c r="N147" i="18" s="1"/>
  <c r="M148" i="18"/>
  <c r="N148" i="18" s="1"/>
  <c r="M149" i="18"/>
  <c r="N149" i="18" s="1"/>
  <c r="M150" i="18"/>
  <c r="N150" i="18" s="1"/>
  <c r="M97" i="18"/>
  <c r="N97" i="18" s="1"/>
  <c r="M98" i="18"/>
  <c r="N98" i="18" s="1"/>
  <c r="M99" i="18"/>
  <c r="N99" i="18" s="1"/>
  <c r="M100" i="18"/>
  <c r="N100" i="18" s="1"/>
  <c r="Q13" i="18"/>
  <c r="L182" i="18"/>
  <c r="M182" i="18" s="1"/>
  <c r="L181" i="18"/>
  <c r="M181" i="18" s="1"/>
  <c r="N181" i="18" s="1"/>
  <c r="P181" i="18" s="1"/>
  <c r="L180" i="18"/>
  <c r="M180" i="18" s="1"/>
  <c r="N180" i="18" s="1"/>
  <c r="P180" i="18" s="1"/>
  <c r="L179" i="18"/>
  <c r="M179" i="18" s="1"/>
  <c r="N179" i="18" s="1"/>
  <c r="P179" i="18" s="1"/>
  <c r="L178" i="18"/>
  <c r="M178" i="18" s="1"/>
  <c r="M174" i="18"/>
  <c r="N174" i="18" s="1"/>
  <c r="P174" i="18" s="1"/>
  <c r="M173" i="18"/>
  <c r="N173" i="18" s="1"/>
  <c r="P173" i="18" s="1"/>
  <c r="M172" i="18"/>
  <c r="N172" i="18" s="1"/>
  <c r="P172" i="18" s="1"/>
  <c r="M171" i="18"/>
  <c r="N171" i="18" s="1"/>
  <c r="P171" i="18" s="1"/>
  <c r="M166" i="18"/>
  <c r="N166" i="18" s="1"/>
  <c r="P166" i="18" s="1"/>
  <c r="Q166" i="18" s="1"/>
  <c r="M165" i="18"/>
  <c r="M164" i="18"/>
  <c r="N164" i="18" s="1"/>
  <c r="P164" i="18" s="1"/>
  <c r="Q164" i="18" s="1"/>
  <c r="M163" i="18"/>
  <c r="M162" i="18"/>
  <c r="N162" i="18" s="1"/>
  <c r="P162" i="18" s="1"/>
  <c r="Q162" i="18" s="1"/>
  <c r="M158" i="18"/>
  <c r="M157" i="18"/>
  <c r="N157" i="18" s="1"/>
  <c r="P157" i="18" s="1"/>
  <c r="Q157" i="18" s="1"/>
  <c r="M156" i="18"/>
  <c r="M155" i="18"/>
  <c r="N155" i="18" s="1"/>
  <c r="P155" i="18" s="1"/>
  <c r="Q155" i="18" s="1"/>
  <c r="M154" i="18"/>
  <c r="L133" i="18"/>
  <c r="M133" i="18" s="1"/>
  <c r="L132" i="18"/>
  <c r="M132" i="18" s="1"/>
  <c r="N132" i="18" s="1"/>
  <c r="P132" i="18" s="1"/>
  <c r="L131" i="18"/>
  <c r="M131" i="18" s="1"/>
  <c r="L130" i="18"/>
  <c r="M130" i="18" s="1"/>
  <c r="L129" i="18"/>
  <c r="M129" i="18" s="1"/>
  <c r="L125" i="18"/>
  <c r="M125" i="18" s="1"/>
  <c r="N125" i="18" s="1"/>
  <c r="P125" i="18" s="1"/>
  <c r="L124" i="18"/>
  <c r="M124" i="18" s="1"/>
  <c r="L123" i="18"/>
  <c r="M123" i="18" s="1"/>
  <c r="N123" i="18" s="1"/>
  <c r="P123" i="18" s="1"/>
  <c r="L122" i="18"/>
  <c r="M122" i="18" s="1"/>
  <c r="L121" i="18"/>
  <c r="M121" i="18" s="1"/>
  <c r="N121" i="18" s="1"/>
  <c r="P121" i="18" s="1"/>
  <c r="L49" i="18"/>
  <c r="L48" i="18"/>
  <c r="L47" i="18"/>
  <c r="L46" i="18"/>
  <c r="L45" i="18"/>
  <c r="N79" i="18" l="1"/>
  <c r="P79" i="18" s="1"/>
  <c r="Q79" i="18" s="1"/>
  <c r="Q138" i="18"/>
  <c r="P218" i="18"/>
  <c r="Q218" i="18" s="1"/>
  <c r="Q5" i="18"/>
  <c r="P220" i="18"/>
  <c r="Q220" i="18" s="1"/>
  <c r="P213" i="18"/>
  <c r="Q213" i="18" s="1"/>
  <c r="P211" i="18"/>
  <c r="Q211" i="18" s="1"/>
  <c r="P222" i="18"/>
  <c r="Q222" i="18" s="1"/>
  <c r="P204" i="18"/>
  <c r="Q204" i="18" s="1"/>
  <c r="N178" i="18"/>
  <c r="P178" i="18" s="1"/>
  <c r="Q178" i="18" s="1"/>
  <c r="P237" i="18"/>
  <c r="Q237" i="18" s="1"/>
  <c r="P229" i="18"/>
  <c r="Q229" i="18" s="1"/>
  <c r="P227" i="18"/>
  <c r="Q227" i="18" s="1"/>
  <c r="P202" i="18"/>
  <c r="Q202" i="18" s="1"/>
  <c r="N234" i="18"/>
  <c r="N243" i="18"/>
  <c r="N244" i="18"/>
  <c r="N238" i="18"/>
  <c r="N236" i="18"/>
  <c r="N245" i="18"/>
  <c r="N246" i="18"/>
  <c r="P203" i="18"/>
  <c r="Q203" i="18" s="1"/>
  <c r="P205" i="18"/>
  <c r="Q205" i="18" s="1"/>
  <c r="N210" i="18"/>
  <c r="N212" i="18"/>
  <c r="N214" i="18"/>
  <c r="N219" i="18"/>
  <c r="N221" i="18"/>
  <c r="N226" i="18"/>
  <c r="N228" i="18"/>
  <c r="N230" i="18"/>
  <c r="Q242" i="18"/>
  <c r="N235" i="18"/>
  <c r="Q179" i="18"/>
  <c r="Q180" i="18"/>
  <c r="Q181" i="18"/>
  <c r="Q173" i="18"/>
  <c r="Q174" i="18"/>
  <c r="Q171" i="18"/>
  <c r="N170" i="18"/>
  <c r="P170" i="18" s="1"/>
  <c r="Q170" i="18" s="1"/>
  <c r="Q172" i="18"/>
  <c r="N182" i="18"/>
  <c r="P182" i="18" s="1"/>
  <c r="Q182" i="18" s="1"/>
  <c r="N154" i="18"/>
  <c r="P154" i="18" s="1"/>
  <c r="Q154" i="18" s="1"/>
  <c r="N156" i="18"/>
  <c r="P156" i="18" s="1"/>
  <c r="Q156" i="18" s="1"/>
  <c r="N158" i="18"/>
  <c r="P158" i="18" s="1"/>
  <c r="Q158" i="18" s="1"/>
  <c r="N163" i="18"/>
  <c r="P163" i="18" s="1"/>
  <c r="Q163" i="18" s="1"/>
  <c r="N165" i="18"/>
  <c r="P165" i="18" s="1"/>
  <c r="Q165" i="18" s="1"/>
  <c r="N130" i="18"/>
  <c r="P130" i="18" s="1"/>
  <c r="Q130" i="18" s="1"/>
  <c r="Q123" i="18"/>
  <c r="Q132" i="18"/>
  <c r="Q125" i="18"/>
  <c r="Q121" i="18"/>
  <c r="N122" i="18"/>
  <c r="N124" i="18"/>
  <c r="P124" i="18" s="1"/>
  <c r="Q124" i="18" s="1"/>
  <c r="N129" i="18"/>
  <c r="N131" i="18"/>
  <c r="N133" i="18"/>
  <c r="P219" i="18" l="1"/>
  <c r="Q219" i="18" s="1"/>
  <c r="P214" i="18"/>
  <c r="Q214" i="18" s="1"/>
  <c r="P212" i="18"/>
  <c r="Q212" i="18" s="1"/>
  <c r="P210" i="18"/>
  <c r="Q210" i="18" s="1"/>
  <c r="P221" i="18"/>
  <c r="Q221" i="18" s="1"/>
  <c r="P246" i="18"/>
  <c r="Q246" i="18" s="1"/>
  <c r="P244" i="18"/>
  <c r="Q244" i="18" s="1"/>
  <c r="P243" i="18"/>
  <c r="Q243" i="18" s="1"/>
  <c r="P245" i="18"/>
  <c r="Q245" i="18" s="1"/>
  <c r="P234" i="18"/>
  <c r="Q234" i="18" s="1"/>
  <c r="P235" i="18"/>
  <c r="Q235" i="18" s="1"/>
  <c r="P236" i="18"/>
  <c r="Q236" i="18" s="1"/>
  <c r="P238" i="18"/>
  <c r="Q238" i="18" s="1"/>
  <c r="P228" i="18"/>
  <c r="Q228" i="18" s="1"/>
  <c r="P226" i="18"/>
  <c r="Q226" i="18" s="1"/>
  <c r="P230" i="18"/>
  <c r="Q230" i="18" s="1"/>
  <c r="P133" i="18"/>
  <c r="Q133" i="18" s="1"/>
  <c r="P131" i="18"/>
  <c r="Q131" i="18" s="1"/>
  <c r="P129" i="18"/>
  <c r="Q129" i="18" s="1"/>
  <c r="P122" i="18"/>
  <c r="Q122" i="18" s="1"/>
  <c r="M49" i="18" l="1"/>
  <c r="M48" i="18"/>
  <c r="M47" i="18"/>
  <c r="M46" i="18"/>
  <c r="N46" i="18" s="1"/>
  <c r="P46" i="18" s="1"/>
  <c r="M45" i="18"/>
  <c r="M41" i="18"/>
  <c r="N41" i="18" s="1"/>
  <c r="P41" i="18" s="1"/>
  <c r="M40" i="18"/>
  <c r="M39" i="18"/>
  <c r="N39" i="18" s="1"/>
  <c r="P39" i="18" s="1"/>
  <c r="M38" i="18"/>
  <c r="M37" i="18"/>
  <c r="N37" i="18" s="1"/>
  <c r="P37" i="18" s="1"/>
  <c r="M33" i="18"/>
  <c r="M32" i="18"/>
  <c r="M31" i="18"/>
  <c r="M30" i="18"/>
  <c r="N30" i="18" s="1"/>
  <c r="P30" i="18" s="1"/>
  <c r="M29" i="18"/>
  <c r="M25" i="18"/>
  <c r="M24" i="18"/>
  <c r="M23" i="18"/>
  <c r="N23" i="18" s="1"/>
  <c r="P23" i="18" s="1"/>
  <c r="M22" i="18"/>
  <c r="M513" i="18"/>
  <c r="N513" i="18" s="1"/>
  <c r="P513" i="18" s="1"/>
  <c r="Q513" i="18" s="1"/>
  <c r="M512" i="18"/>
  <c r="M511" i="18"/>
  <c r="N511" i="18" s="1"/>
  <c r="P511" i="18" s="1"/>
  <c r="Q511" i="18" s="1"/>
  <c r="M510" i="18"/>
  <c r="M509" i="18"/>
  <c r="N509" i="18" s="1"/>
  <c r="P509" i="18" s="1"/>
  <c r="Q509" i="18" s="1"/>
  <c r="M504" i="18"/>
  <c r="M503" i="18"/>
  <c r="N503" i="18" s="1"/>
  <c r="P503" i="18" s="1"/>
  <c r="Q503" i="18" s="1"/>
  <c r="M502" i="18"/>
  <c r="M501" i="18"/>
  <c r="N501" i="18" s="1"/>
  <c r="P501" i="18" s="1"/>
  <c r="Q501" i="18" s="1"/>
  <c r="M500" i="18"/>
  <c r="M495" i="18"/>
  <c r="N495" i="18" s="1"/>
  <c r="P495" i="18" s="1"/>
  <c r="Q495" i="18" s="1"/>
  <c r="M312" i="18"/>
  <c r="N312" i="18" s="1"/>
  <c r="P312" i="18" s="1"/>
  <c r="Q312" i="18" s="1"/>
  <c r="M311" i="18"/>
  <c r="M310" i="18"/>
  <c r="N310" i="18" s="1"/>
  <c r="P310" i="18" s="1"/>
  <c r="Q310" i="18" s="1"/>
  <c r="M309" i="18"/>
  <c r="M308" i="18"/>
  <c r="N308" i="18" s="1"/>
  <c r="P308" i="18" s="1"/>
  <c r="Q308" i="18" s="1"/>
  <c r="M303" i="18"/>
  <c r="M302" i="18"/>
  <c r="N302" i="18" s="1"/>
  <c r="M301" i="18"/>
  <c r="M300" i="18"/>
  <c r="N300" i="18" s="1"/>
  <c r="M117" i="18"/>
  <c r="M116" i="18"/>
  <c r="M115" i="18"/>
  <c r="M114" i="18"/>
  <c r="M113" i="18"/>
  <c r="N113" i="18" s="1"/>
  <c r="P113" i="18" s="1"/>
  <c r="M109" i="18"/>
  <c r="M108" i="18"/>
  <c r="N108" i="18" s="1"/>
  <c r="M107" i="18"/>
  <c r="M106" i="18"/>
  <c r="M105" i="18"/>
  <c r="P98" i="18"/>
  <c r="P97" i="18"/>
  <c r="Q17" i="18"/>
  <c r="Q15" i="18"/>
  <c r="P302" i="18" l="1"/>
  <c r="Q302" i="18" s="1"/>
  <c r="P300" i="18"/>
  <c r="Q300" i="18" s="1"/>
  <c r="P198" i="18"/>
  <c r="Q198" i="18" s="1"/>
  <c r="P196" i="18"/>
  <c r="Q196" i="18" s="1"/>
  <c r="P187" i="18"/>
  <c r="Q187" i="18" s="1"/>
  <c r="P139" i="18"/>
  <c r="Q139" i="18" s="1"/>
  <c r="P150" i="18"/>
  <c r="Q150" i="18" s="1"/>
  <c r="P141" i="18"/>
  <c r="Q141" i="18" s="1"/>
  <c r="P108" i="18"/>
  <c r="Q108" i="18" s="1"/>
  <c r="P91" i="18"/>
  <c r="Q91" i="18" s="1"/>
  <c r="P89" i="18"/>
  <c r="Q89" i="18" s="1"/>
  <c r="P96" i="18"/>
  <c r="Q96" i="18" s="1"/>
  <c r="Q81" i="18"/>
  <c r="Q80" i="18"/>
  <c r="Q83" i="18"/>
  <c r="N48" i="18"/>
  <c r="Q46" i="18"/>
  <c r="Q37" i="18"/>
  <c r="Q39" i="18"/>
  <c r="Q41" i="18"/>
  <c r="N38" i="18"/>
  <c r="P38" i="18" s="1"/>
  <c r="Q38" i="18" s="1"/>
  <c r="N40" i="18"/>
  <c r="P40" i="18" s="1"/>
  <c r="Q40" i="18" s="1"/>
  <c r="N45" i="18"/>
  <c r="N47" i="18"/>
  <c r="N49" i="18"/>
  <c r="N25" i="18"/>
  <c r="N32" i="18"/>
  <c r="Q21" i="18"/>
  <c r="Q23" i="18"/>
  <c r="Q30" i="18"/>
  <c r="N22" i="18"/>
  <c r="N24" i="18"/>
  <c r="N29" i="18"/>
  <c r="N31" i="18"/>
  <c r="N33" i="18"/>
  <c r="Q98" i="18"/>
  <c r="Q113" i="18"/>
  <c r="Q8" i="18"/>
  <c r="Q6" i="18"/>
  <c r="P9" i="18"/>
  <c r="Q9" i="18" s="1"/>
  <c r="Q14" i="18"/>
  <c r="Q16" i="18"/>
  <c r="Q88" i="18"/>
  <c r="N109" i="18"/>
  <c r="P186" i="18"/>
  <c r="N301" i="18"/>
  <c r="N114" i="18"/>
  <c r="Q97" i="18"/>
  <c r="N106" i="18"/>
  <c r="N117" i="18"/>
  <c r="N115" i="18"/>
  <c r="N303" i="18"/>
  <c r="N107" i="18"/>
  <c r="Q299" i="18"/>
  <c r="N311" i="18"/>
  <c r="P311" i="18" s="1"/>
  <c r="Q311" i="18" s="1"/>
  <c r="N105" i="18"/>
  <c r="N116" i="18"/>
  <c r="N309" i="18"/>
  <c r="P309" i="18" s="1"/>
  <c r="Q309" i="18" s="1"/>
  <c r="N500" i="18"/>
  <c r="P500" i="18" s="1"/>
  <c r="Q500" i="18" s="1"/>
  <c r="N502" i="18"/>
  <c r="P502" i="18" s="1"/>
  <c r="Q502" i="18" s="1"/>
  <c r="N504" i="18"/>
  <c r="P504" i="18" s="1"/>
  <c r="Q504" i="18" s="1"/>
  <c r="N510" i="18"/>
  <c r="P510" i="18" s="1"/>
  <c r="Q510" i="18" s="1"/>
  <c r="N512" i="18"/>
  <c r="P512" i="18" s="1"/>
  <c r="Q512" i="18" s="1"/>
  <c r="P303" i="18" l="1"/>
  <c r="Q303" i="18" s="1"/>
  <c r="P301" i="18"/>
  <c r="Q301" i="18" s="1"/>
  <c r="P45" i="18"/>
  <c r="Q45" i="18" s="1"/>
  <c r="P47" i="18"/>
  <c r="Q47" i="18" s="1"/>
  <c r="P33" i="18"/>
  <c r="Q33" i="18" s="1"/>
  <c r="P32" i="18"/>
  <c r="Q32" i="18" s="1"/>
  <c r="P31" i="18"/>
  <c r="Q31" i="18" s="1"/>
  <c r="P48" i="18"/>
  <c r="Q48" i="18" s="1"/>
  <c r="P29" i="18"/>
  <c r="Q29" i="18" s="1"/>
  <c r="P49" i="18"/>
  <c r="Q49" i="18" s="1"/>
  <c r="P190" i="18"/>
  <c r="Q190" i="18" s="1"/>
  <c r="P194" i="18"/>
  <c r="Q194" i="18" s="1"/>
  <c r="P195" i="18"/>
  <c r="Q195" i="18" s="1"/>
  <c r="P197" i="18"/>
  <c r="Q197" i="18" s="1"/>
  <c r="Q186" i="18"/>
  <c r="P188" i="18"/>
  <c r="Q188" i="18" s="1"/>
  <c r="P189" i="18"/>
  <c r="Q189" i="18" s="1"/>
  <c r="P140" i="18"/>
  <c r="Q140" i="18" s="1"/>
  <c r="P142" i="18"/>
  <c r="Q142" i="18" s="1"/>
  <c r="P146" i="18"/>
  <c r="Q146" i="18" s="1"/>
  <c r="P147" i="18"/>
  <c r="Q147" i="18" s="1"/>
  <c r="P148" i="18"/>
  <c r="Q148" i="18" s="1"/>
  <c r="P149" i="18"/>
  <c r="Q149" i="18" s="1"/>
  <c r="P117" i="18"/>
  <c r="Q117" i="18" s="1"/>
  <c r="P116" i="18"/>
  <c r="Q116" i="18" s="1"/>
  <c r="P114" i="18"/>
  <c r="Q114" i="18" s="1"/>
  <c r="P115" i="18"/>
  <c r="Q115" i="18" s="1"/>
  <c r="P106" i="18"/>
  <c r="Q106" i="18" s="1"/>
  <c r="P109" i="18"/>
  <c r="Q109" i="18" s="1"/>
  <c r="P107" i="18"/>
  <c r="Q107" i="18" s="1"/>
  <c r="P105" i="18"/>
  <c r="Q105" i="18" s="1"/>
  <c r="P100" i="18"/>
  <c r="Q100" i="18" s="1"/>
  <c r="P92" i="18"/>
  <c r="Q92" i="18" s="1"/>
  <c r="P99" i="18"/>
  <c r="Q99" i="18" s="1"/>
  <c r="P90" i="18"/>
  <c r="Q90" i="18" s="1"/>
  <c r="Q82" i="18"/>
  <c r="P25" i="18"/>
  <c r="Q25" i="18" s="1"/>
  <c r="P24" i="18"/>
  <c r="Q24" i="18" s="1"/>
  <c r="P22" i="18"/>
  <c r="Q22" i="18" s="1"/>
  <c r="P7" i="18"/>
  <c r="Q7" i="18" s="1"/>
  <c r="M128" i="16" l="1"/>
  <c r="N128" i="16" s="1"/>
  <c r="P128" i="16" s="1"/>
  <c r="M127" i="16"/>
  <c r="N127" i="16" s="1"/>
  <c r="P127" i="16" s="1"/>
  <c r="Q127" i="16" s="1"/>
  <c r="M126" i="16"/>
  <c r="M125" i="16"/>
  <c r="N125" i="16" s="1"/>
  <c r="P125" i="16" s="1"/>
  <c r="Q125" i="16" s="1"/>
  <c r="M124" i="16"/>
  <c r="N124" i="16" s="1"/>
  <c r="P124" i="16" s="1"/>
  <c r="M119" i="16"/>
  <c r="N119" i="16" s="1"/>
  <c r="P119" i="16" s="1"/>
  <c r="Q119" i="16" s="1"/>
  <c r="M118" i="16"/>
  <c r="M117" i="16"/>
  <c r="N117" i="16" s="1"/>
  <c r="P117" i="16" s="1"/>
  <c r="Q117" i="16" s="1"/>
  <c r="M116" i="16"/>
  <c r="M115" i="16"/>
  <c r="N115" i="16" s="1"/>
  <c r="P115" i="16" s="1"/>
  <c r="Q115" i="16" s="1"/>
  <c r="N118" i="16" l="1"/>
  <c r="P118" i="16" s="1"/>
  <c r="Q118" i="16" s="1"/>
  <c r="N126" i="16"/>
  <c r="P126" i="16" s="1"/>
  <c r="Q126" i="16" s="1"/>
  <c r="Q124" i="16"/>
  <c r="Q128" i="16"/>
  <c r="N116" i="16"/>
  <c r="P116" i="16" s="1"/>
  <c r="Q116" i="16" s="1"/>
  <c r="M110" i="16"/>
  <c r="N110" i="16" s="1"/>
  <c r="M109" i="16"/>
  <c r="N109" i="16" s="1"/>
  <c r="M108" i="16"/>
  <c r="N108" i="16" s="1"/>
  <c r="M107" i="16"/>
  <c r="N107" i="16" s="1"/>
  <c r="M106" i="16"/>
  <c r="N106" i="16" s="1"/>
  <c r="M101" i="16"/>
  <c r="M100" i="16"/>
  <c r="M99" i="16"/>
  <c r="M98" i="16"/>
  <c r="M97" i="16"/>
  <c r="M92" i="16"/>
  <c r="M91" i="16"/>
  <c r="M90" i="16"/>
  <c r="M89" i="16"/>
  <c r="M88" i="16"/>
  <c r="M83" i="16"/>
  <c r="N83" i="16" s="1"/>
  <c r="P83" i="16" s="1"/>
  <c r="M82" i="16"/>
  <c r="M81" i="16"/>
  <c r="N81" i="16" s="1"/>
  <c r="P81" i="16" s="1"/>
  <c r="M80" i="16"/>
  <c r="M79" i="16"/>
  <c r="N79" i="16" s="1"/>
  <c r="P79" i="16" s="1"/>
  <c r="N97" i="16" l="1"/>
  <c r="P97" i="16" s="1"/>
  <c r="Q97" i="16" s="1"/>
  <c r="N99" i="16"/>
  <c r="P99" i="16" s="1"/>
  <c r="Q99" i="16" s="1"/>
  <c r="N101" i="16"/>
  <c r="P101" i="16" s="1"/>
  <c r="Q101" i="16" s="1"/>
  <c r="P107" i="16"/>
  <c r="Q107" i="16" s="1"/>
  <c r="P109" i="16"/>
  <c r="Q109" i="16" s="1"/>
  <c r="N98" i="16"/>
  <c r="P98" i="16" s="1"/>
  <c r="Q98" i="16" s="1"/>
  <c r="N100" i="16"/>
  <c r="P100" i="16" s="1"/>
  <c r="Q100" i="16" s="1"/>
  <c r="P106" i="16"/>
  <c r="Q106" i="16" s="1"/>
  <c r="P108" i="16"/>
  <c r="Q108" i="16" s="1"/>
  <c r="P110" i="16"/>
  <c r="Q110" i="16" s="1"/>
  <c r="N91" i="16"/>
  <c r="P91" i="16" s="1"/>
  <c r="Q91" i="16" s="1"/>
  <c r="N89" i="16"/>
  <c r="P89" i="16" s="1"/>
  <c r="Q89" i="16" s="1"/>
  <c r="Q79" i="16"/>
  <c r="Q81" i="16"/>
  <c r="Q83" i="16"/>
  <c r="N80" i="16"/>
  <c r="P80" i="16" s="1"/>
  <c r="Q80" i="16" s="1"/>
  <c r="N82" i="16"/>
  <c r="P82" i="16" s="1"/>
  <c r="Q82" i="16" s="1"/>
  <c r="N88" i="16"/>
  <c r="P88" i="16" s="1"/>
  <c r="Q88" i="16" s="1"/>
  <c r="N90" i="16"/>
  <c r="P90" i="16" s="1"/>
  <c r="Q90" i="16" s="1"/>
  <c r="N92" i="16"/>
  <c r="P92" i="16" s="1"/>
  <c r="Q92" i="16" s="1"/>
  <c r="M74" i="16" l="1"/>
  <c r="M73" i="16"/>
  <c r="M72" i="16"/>
  <c r="M71" i="16"/>
  <c r="N71" i="16" s="1"/>
  <c r="P71" i="16" s="1"/>
  <c r="M70" i="16"/>
  <c r="M65" i="16"/>
  <c r="N65" i="16" s="1"/>
  <c r="P65" i="16" s="1"/>
  <c r="M64" i="16"/>
  <c r="M63" i="16"/>
  <c r="M62" i="16"/>
  <c r="M61" i="16"/>
  <c r="M55" i="16"/>
  <c r="M54" i="16"/>
  <c r="M53" i="16"/>
  <c r="M52" i="16"/>
  <c r="N52" i="16" s="1"/>
  <c r="P52" i="16" s="1"/>
  <c r="M51" i="16"/>
  <c r="M46" i="16"/>
  <c r="M45" i="16"/>
  <c r="M44" i="16"/>
  <c r="M43" i="16"/>
  <c r="M42" i="16"/>
  <c r="M36" i="16"/>
  <c r="M35" i="16"/>
  <c r="M34" i="16"/>
  <c r="M33" i="16"/>
  <c r="M32" i="16"/>
  <c r="M27" i="16"/>
  <c r="M26" i="16"/>
  <c r="M25" i="16"/>
  <c r="M24" i="16"/>
  <c r="M23" i="16"/>
  <c r="M17" i="16"/>
  <c r="N17" i="16" s="1"/>
  <c r="P17" i="16" s="1"/>
  <c r="Q17" i="16" s="1"/>
  <c r="M16" i="16"/>
  <c r="N16" i="16" s="1"/>
  <c r="P16" i="16" s="1"/>
  <c r="M15" i="16"/>
  <c r="N15" i="16" s="1"/>
  <c r="P15" i="16" s="1"/>
  <c r="Q15" i="16" s="1"/>
  <c r="M14" i="16"/>
  <c r="M13" i="16"/>
  <c r="N13" i="16" s="1"/>
  <c r="P13" i="16" s="1"/>
  <c r="Q13" i="16" s="1"/>
  <c r="M8" i="16"/>
  <c r="N8" i="16" s="1"/>
  <c r="P8" i="16" s="1"/>
  <c r="M7" i="16"/>
  <c r="N7" i="16" s="1"/>
  <c r="P7" i="16" s="1"/>
  <c r="M6" i="16"/>
  <c r="M5" i="16"/>
  <c r="N5" i="16" s="1"/>
  <c r="P5" i="16" s="1"/>
  <c r="M4" i="16"/>
  <c r="N14" i="16" l="1"/>
  <c r="P14" i="16" s="1"/>
  <c r="Q14" i="16" s="1"/>
  <c r="Q16" i="16"/>
  <c r="N61" i="16"/>
  <c r="P61" i="16" s="1"/>
  <c r="Q61" i="16" s="1"/>
  <c r="N73" i="16"/>
  <c r="P73" i="16" s="1"/>
  <c r="Q73" i="16" s="1"/>
  <c r="Q65" i="16"/>
  <c r="N62" i="16"/>
  <c r="P62" i="16" s="1"/>
  <c r="Q62" i="16" s="1"/>
  <c r="N64" i="16"/>
  <c r="P64" i="16" s="1"/>
  <c r="Q64" i="16" s="1"/>
  <c r="N70" i="16"/>
  <c r="P70" i="16" s="1"/>
  <c r="Q70" i="16" s="1"/>
  <c r="N72" i="16"/>
  <c r="P72" i="16" s="1"/>
  <c r="Q72" i="16" s="1"/>
  <c r="N74" i="16"/>
  <c r="P74" i="16" s="1"/>
  <c r="Q74" i="16" s="1"/>
  <c r="N63" i="16"/>
  <c r="P63" i="16" s="1"/>
  <c r="Q63" i="16" s="1"/>
  <c r="Q71" i="16"/>
  <c r="N46" i="16"/>
  <c r="P46" i="16" s="1"/>
  <c r="Q46" i="16" s="1"/>
  <c r="N44" i="16"/>
  <c r="P44" i="16" s="1"/>
  <c r="Q44" i="16" s="1"/>
  <c r="N43" i="16"/>
  <c r="P43" i="16" s="1"/>
  <c r="Q43" i="16" s="1"/>
  <c r="N45" i="16"/>
  <c r="P45" i="16" s="1"/>
  <c r="Q45" i="16" s="1"/>
  <c r="N51" i="16"/>
  <c r="P51" i="16" s="1"/>
  <c r="Q51" i="16" s="1"/>
  <c r="N53" i="16"/>
  <c r="P53" i="16" s="1"/>
  <c r="Q53" i="16" s="1"/>
  <c r="N55" i="16"/>
  <c r="P55" i="16" s="1"/>
  <c r="Q55" i="16" s="1"/>
  <c r="N42" i="16"/>
  <c r="P42" i="16" s="1"/>
  <c r="Q42" i="16" s="1"/>
  <c r="N54" i="16"/>
  <c r="P54" i="16" s="1"/>
  <c r="Q54" i="16" s="1"/>
  <c r="Q52" i="16"/>
  <c r="N23" i="16"/>
  <c r="P23" i="16" s="1"/>
  <c r="Q23" i="16" s="1"/>
  <c r="N25" i="16"/>
  <c r="P25" i="16" s="1"/>
  <c r="Q25" i="16" s="1"/>
  <c r="N27" i="16"/>
  <c r="P27" i="16" s="1"/>
  <c r="Q27" i="16" s="1"/>
  <c r="N33" i="16"/>
  <c r="P33" i="16" s="1"/>
  <c r="Q33" i="16" s="1"/>
  <c r="N35" i="16"/>
  <c r="P35" i="16" s="1"/>
  <c r="Q35" i="16" s="1"/>
  <c r="N24" i="16"/>
  <c r="P24" i="16" s="1"/>
  <c r="Q24" i="16" s="1"/>
  <c r="N26" i="16"/>
  <c r="P26" i="16" s="1"/>
  <c r="Q26" i="16" s="1"/>
  <c r="N32" i="16"/>
  <c r="P32" i="16" s="1"/>
  <c r="Q32" i="16" s="1"/>
  <c r="N34" i="16"/>
  <c r="P34" i="16" s="1"/>
  <c r="Q34" i="16" s="1"/>
  <c r="N36" i="16"/>
  <c r="P36" i="16" s="1"/>
  <c r="Q36" i="16" s="1"/>
  <c r="N6" i="16"/>
  <c r="P6" i="16" s="1"/>
  <c r="Q6" i="16" s="1"/>
  <c r="Q8" i="16"/>
  <c r="N4" i="16"/>
  <c r="P4" i="16" s="1"/>
  <c r="Q4" i="16" s="1"/>
  <c r="Q7" i="16"/>
  <c r="Q5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834591A-0205-47B6-BF36-808FAD45AB11}" keepAlive="1" name="Zapytanie — andex" description="Połączenie z zapytaniem „andex” w skoroszycie." type="5" refreshedVersion="0" background="1">
    <dbPr connection="Provider=Microsoft.Mashup.OleDb.1;Data Source=$Workbook$;Location=andex;Extended Properties=&quot;&quot;" command="SELECT * FROM [andex]"/>
  </connection>
  <connection id="2" xr16:uid="{036B3E05-D870-4137-AEE5-9762A58D9D87}" keepAlive="1" name="Zapytanie — csvka" description="Połączenie z zapytaniem „csvka” w skoroszycie." type="5" refreshedVersion="0" background="1">
    <dbPr connection="Provider=Microsoft.Mashup.OleDb.1;Data Source=$Workbook$;Location=csvka;Extended Properties=&quot;&quot;" command="SELECT * FROM [csvka]"/>
  </connection>
  <connection id="3" xr16:uid="{F9B5A027-0BE3-47AB-BBD5-7B4B71366601}" keepAlive="1" name="Zapytanie — csvka (2)" description="Połączenie z zapytaniem „csvka (2)” w skoroszycie." type="5" refreshedVersion="0" background="1">
    <dbPr connection="Provider=Microsoft.Mashup.OleDb.1;Data Source=$Workbook$;Location=&quot;csvka (2)&quot;;Extended Properties=&quot;&quot;" command="SELECT * FROM [csvka (2)]"/>
  </connection>
  <connection id="4" xr16:uid="{8E40DE2F-51D3-47B8-934D-CB63BE8E35E0}" keepAlive="1" name="Zapytanie — ikonka" description="Połączenie z zapytaniem „ikonka” w skoroszycie." type="5" refreshedVersion="0" background="1">
    <dbPr connection="Provider=Microsoft.Mashup.OleDb.1;Data Source=$Workbook$;Location=ikonka;Extended Properties=&quot;&quot;" command="SELECT * FROM [ikonka]"/>
  </connection>
  <connection id="5" xr16:uid="{812671CF-FDE8-42CF-A92F-8E0ED4FC5198}" keepAlive="1" name="Zapytanie — ikonka (2)" description="Połączenie z zapytaniem „ikonka (2)” w skoroszycie." type="5" refreshedVersion="0" background="1">
    <dbPr connection="Provider=Microsoft.Mashup.OleDb.1;Data Source=$Workbook$;Location=&quot;ikonka (2)&quot;;Extended Properties=&quot;&quot;" command="SELECT * FROM [ikonka (2)]"/>
  </connection>
  <connection id="6" xr16:uid="{2D5A6774-72C3-49BE-BBC9-E048C5B866DA}" keepAlive="1" name="Zapytanie — kinghomepl" description="Połączenie z zapytaniem „kinghomepl” w skoroszycie." type="5" refreshedVersion="8" background="1" saveData="1">
    <dbPr connection="Provider=Microsoft.Mashup.OleDb.1;Data Source=$Workbook$;Location=kinghomepl;Extended Properties=&quot;&quot;" command="SELECT * FROM [kinghomepl]"/>
  </connection>
  <connection id="7" xr16:uid="{3CA97DF9-8C93-4AF1-9DD3-E256F284C62B}" keepAlive="1" name="Zapytanie — o" description="Połączenie z zapytaniem „o” w skoroszycie." type="5" refreshedVersion="0" background="1">
    <dbPr connection="Provider=Microsoft.Mashup.OleDb.1;Data Source=$Workbook$;Location=o;Extended Properties=&quot;&quot;" command="SELECT * FROM [o]"/>
  </connection>
  <connection id="8" xr16:uid="{E2ED9F02-8BA4-460E-9D26-DF23B2258C9B}" keepAlive="1" name="Zapytanie — rovicky" description="Połączenie z zapytaniem „rovicky” w skoroszycie." type="5" refreshedVersion="0" background="1">
    <dbPr connection="Provider=Microsoft.Mashup.OleDb.1;Data Source=$Workbook$;Location=rovicky;Extended Properties=&quot;&quot;" command="SELECT * FROM [rovicky]"/>
  </connection>
  <connection id="9" xr16:uid="{7B5EDCCF-0528-4C6F-8CF7-17B1E91A4B4A}" keepAlive="1" name="Zapytanie — shumee-mall-cz-ikonka" description="Połączenie z zapytaniem „shumee-mall-cz-ikonka” w skoroszycie." type="5" refreshedVersion="0" background="1">
    <dbPr connection="Provider=Microsoft.Mashup.OleDb.1;Data Source=$Workbook$;Location=shumee-mall-cz-ikonka;Extended Properties=&quot;&quot;" command="SELECT * FROM [shumee-mall-cz-ikonka]"/>
  </connection>
</connections>
</file>

<file path=xl/sharedStrings.xml><?xml version="1.0" encoding="utf-8"?>
<sst xmlns="http://schemas.openxmlformats.org/spreadsheetml/2006/main" count="3129" uniqueCount="130">
  <si>
    <t>AW NARZĘDZIA</t>
  </si>
  <si>
    <t>Kwota netto w feedzie</t>
  </si>
  <si>
    <t>kwota netto wysyłki</t>
  </si>
  <si>
    <t>integrator</t>
  </si>
  <si>
    <t>waluta</t>
  </si>
  <si>
    <t>vat</t>
  </si>
  <si>
    <t>dodawanie</t>
  </si>
  <si>
    <t>mnożnik na koncie</t>
  </si>
  <si>
    <t>+/- na koncie</t>
  </si>
  <si>
    <t>Prowizja</t>
  </si>
  <si>
    <t>Kwota dostawy</t>
  </si>
  <si>
    <t>Całkowita wartość zamówienia</t>
  </si>
  <si>
    <t>Wartość prowizji w walucie</t>
  </si>
  <si>
    <t>Rabat od feeda</t>
  </si>
  <si>
    <t>Całkowity koszt produktu netto</t>
  </si>
  <si>
    <t>Marża</t>
  </si>
  <si>
    <t>SHUMEE</t>
  </si>
  <si>
    <t>GSTORE</t>
  </si>
  <si>
    <t>kinghoff</t>
  </si>
  <si>
    <t>Kwota brutto w feedzie</t>
  </si>
  <si>
    <t>ikonka</t>
  </si>
  <si>
    <t>stema</t>
  </si>
  <si>
    <t>kinghome</t>
  </si>
  <si>
    <t>eurofirany</t>
  </si>
  <si>
    <t>homla</t>
  </si>
  <si>
    <t>fernity</t>
  </si>
  <si>
    <t>twm</t>
  </si>
  <si>
    <t>duka</t>
  </si>
  <si>
    <t>barbecook</t>
  </si>
  <si>
    <t>andex</t>
  </si>
  <si>
    <t>detian</t>
  </si>
  <si>
    <t>rovicky</t>
  </si>
  <si>
    <t>unimet</t>
  </si>
  <si>
    <t>produkt</t>
  </si>
  <si>
    <t>cena netto VIDA</t>
  </si>
  <si>
    <t>nasz koszt dostawy</t>
  </si>
  <si>
    <t>mnożnik</t>
  </si>
  <si>
    <t>mnożnik VAT</t>
  </si>
  <si>
    <t>dodawanie/odejmowanie</t>
  </si>
  <si>
    <t>CENA MALL BRUTTO</t>
  </si>
  <si>
    <t>CENA MALL NETTO</t>
  </si>
  <si>
    <t>DOSTAWA MALL</t>
  </si>
  <si>
    <t>prowizja</t>
  </si>
  <si>
    <t>marża 2</t>
  </si>
  <si>
    <t>marża 3</t>
  </si>
  <si>
    <t>PRZEDZIAŁ</t>
  </si>
  <si>
    <t>odejmowanie</t>
  </si>
  <si>
    <t>VIDA SHUMEE</t>
  </si>
  <si>
    <t>VIDA GREATSTORE</t>
  </si>
  <si>
    <t>PO MNOŻNIKACH</t>
  </si>
  <si>
    <t>0-32</t>
  </si>
  <si>
    <t>32-51</t>
  </si>
  <si>
    <t>51-80</t>
  </si>
  <si>
    <t>80-120</t>
  </si>
  <si>
    <t>120-160</t>
  </si>
  <si>
    <t>160-200</t>
  </si>
  <si>
    <t>200-240</t>
  </si>
  <si>
    <t>240-280</t>
  </si>
  <si>
    <t>280-425</t>
  </si>
  <si>
    <t>425-</t>
  </si>
  <si>
    <t>0-8390</t>
  </si>
  <si>
    <t>8390-12500</t>
  </si>
  <si>
    <t>12500-30670</t>
  </si>
  <si>
    <t>30670-50370</t>
  </si>
  <si>
    <t>50370-75145</t>
  </si>
  <si>
    <t>75145-110199</t>
  </si>
  <si>
    <t>AW NARZĘDZIA - MD</t>
  </si>
  <si>
    <t>AW NARZĘDZIA - pobrania</t>
  </si>
  <si>
    <t>0-35542</t>
  </si>
  <si>
    <t>35542-53313</t>
  </si>
  <si>
    <t>53313-99999</t>
  </si>
  <si>
    <t>99999-</t>
  </si>
  <si>
    <t>STEMA - przedpłata</t>
  </si>
  <si>
    <t>STEMA - pobranie</t>
  </si>
  <si>
    <t>KINGHOME - MD</t>
  </si>
  <si>
    <t>KINGHOME - przedpłaty</t>
  </si>
  <si>
    <t>KINGHOME - pobrania</t>
  </si>
  <si>
    <t>KINGHOFF - MD</t>
  </si>
  <si>
    <t>IKONKA - MD</t>
  </si>
  <si>
    <t>EUROFIRANY - MD</t>
  </si>
  <si>
    <t>HOMLA - MD</t>
  </si>
  <si>
    <t>HOMLA - przedpłaty</t>
  </si>
  <si>
    <t>HOMLA - pobrania</t>
  </si>
  <si>
    <t>FERNITY - MD</t>
  </si>
  <si>
    <t>FERNITY - przedpłaty</t>
  </si>
  <si>
    <t>FERNITY - pobrania</t>
  </si>
  <si>
    <t>KOKISKA - pobrania</t>
  </si>
  <si>
    <t>DUKA - MD</t>
  </si>
  <si>
    <t>BARBECOOK - MD</t>
  </si>
  <si>
    <t>DETIAN - MD</t>
  </si>
  <si>
    <t>ROVICKY - MD</t>
  </si>
  <si>
    <t>UNIMET - MD</t>
  </si>
  <si>
    <t>UNIMET - przedpłaty</t>
  </si>
  <si>
    <t>UNIMET - pobrania</t>
  </si>
  <si>
    <t>VIDA - przedpłaty</t>
  </si>
  <si>
    <t>VIDA - pobrania</t>
  </si>
  <si>
    <t>FLHF - MD</t>
  </si>
  <si>
    <t>FLHF - przedpłaty</t>
  </si>
  <si>
    <t>FLHF - pobrania</t>
  </si>
  <si>
    <t>DOSTAWA MALL całkowita</t>
  </si>
  <si>
    <t>Wartość do cennika</t>
  </si>
  <si>
    <t>Wartosc do pobrania</t>
  </si>
  <si>
    <t>Shumee</t>
  </si>
  <si>
    <t>Greatstore</t>
  </si>
  <si>
    <t>Vida</t>
  </si>
  <si>
    <t>Vida - pobrania</t>
  </si>
  <si>
    <t>110199-</t>
  </si>
  <si>
    <t>Beliani Bigbox</t>
  </si>
  <si>
    <t>AW NARZĘDZIA - bigbox</t>
  </si>
  <si>
    <t>Adler</t>
  </si>
  <si>
    <t>VAT SI</t>
  </si>
  <si>
    <t>Po mnożnikach</t>
  </si>
  <si>
    <t>Przed mnożnikami (netto)</t>
  </si>
  <si>
    <t>Od</t>
  </si>
  <si>
    <t>do</t>
  </si>
  <si>
    <t>Koszt dostawy</t>
  </si>
  <si>
    <t>Mnożnik</t>
  </si>
  <si>
    <t>VAT</t>
  </si>
  <si>
    <t>Odejmowanie</t>
  </si>
  <si>
    <t>Cennik od</t>
  </si>
  <si>
    <t>(Cennik do)</t>
  </si>
  <si>
    <t>VAT SK</t>
  </si>
  <si>
    <t>VAT CZ</t>
  </si>
  <si>
    <t>VAT HU</t>
  </si>
  <si>
    <t>Kinghoff - All MD</t>
  </si>
  <si>
    <t>Adler - All MD</t>
  </si>
  <si>
    <t>MATTRE - MD</t>
  </si>
  <si>
    <t>SHUMEE/GSTORE</t>
  </si>
  <si>
    <t>NIEMOWLETA - MD</t>
  </si>
  <si>
    <t>TEAMSON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</si>
</sst>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0.0%"/>
    <numFmt numFmtId="165" formatCode="_-* #,##0.00\ [$CZK]_-;\-* #,##0.00\ [$CZK]_-;_-* &quot;-&quot;??\ [$CZK]_-;_-@_-"/>
    <numFmt numFmtId="166" formatCode="_-* #,##0.00\ [$HUF]_-;\-* #,##0.00\ [$HUF]_-;_-* &quot;-&quot;??\ [$HUF]_-;_-@_-"/>
    <numFmt numFmtId="167" formatCode="_-* #,##0.00\ [$zł-415]_-;\-* #,##0.00\ [$zł-415]_-;_-* &quot;-&quot;??\ [$zł-415]_-;_-@_-"/>
    <numFmt numFmtId="168" formatCode="_-[$€-2]\ * #,##0.00_-;\-[$€-2]\ * #,##0.00_-;_-[$€-2]\ * &quot;-&quot;??_-;_-@_-"/>
    <numFmt numFmtId="169" formatCode="0.000"/>
    <numFmt numFmtId="171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2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44" fontId="4" fillId="3" borderId="6" xfId="1" applyFont="1" applyFill="1" applyBorder="1"/>
    <xf numFmtId="0" fontId="0" fillId="3" borderId="7" xfId="0" applyFill="1" applyBorder="1"/>
    <xf numFmtId="164" fontId="0" fillId="0" borderId="7" xfId="0" applyNumberFormat="1" applyBorder="1"/>
    <xf numFmtId="165" fontId="0" fillId="0" borderId="7" xfId="0" applyNumberFormat="1" applyBorder="1"/>
    <xf numFmtId="2" fontId="0" fillId="0" borderId="7" xfId="0" applyNumberFormat="1" applyBorder="1"/>
    <xf numFmtId="9" fontId="0" fillId="0" borderId="7" xfId="0" applyNumberFormat="1" applyBorder="1"/>
    <xf numFmtId="44" fontId="4" fillId="4" borderId="6" xfId="1" applyFont="1" applyFill="1" applyBorder="1"/>
    <xf numFmtId="0" fontId="0" fillId="4" borderId="7" xfId="0" applyFill="1" applyBorder="1"/>
    <xf numFmtId="44" fontId="4" fillId="5" borderId="6" xfId="1" applyFont="1" applyFill="1" applyBorder="1"/>
    <xf numFmtId="0" fontId="0" fillId="5" borderId="7" xfId="0" applyFill="1" applyBorder="1"/>
    <xf numFmtId="44" fontId="4" fillId="6" borderId="6" xfId="1" applyFont="1" applyFill="1" applyBorder="1"/>
    <xf numFmtId="0" fontId="0" fillId="6" borderId="7" xfId="0" applyFill="1" applyBorder="1"/>
    <xf numFmtId="44" fontId="4" fillId="7" borderId="6" xfId="1" applyFont="1" applyFill="1" applyBorder="1"/>
    <xf numFmtId="0" fontId="0" fillId="7" borderId="7" xfId="0" applyFill="1" applyBorder="1"/>
    <xf numFmtId="0" fontId="0" fillId="0" borderId="9" xfId="0" applyBorder="1"/>
    <xf numFmtId="10" fontId="0" fillId="0" borderId="8" xfId="3" applyNumberFormat="1" applyFont="1" applyBorder="1"/>
    <xf numFmtId="0" fontId="0" fillId="8" borderId="7" xfId="0" applyFill="1" applyBorder="1"/>
    <xf numFmtId="166" fontId="0" fillId="0" borderId="0" xfId="0" applyNumberFormat="1"/>
    <xf numFmtId="166" fontId="0" fillId="0" borderId="7" xfId="0" applyNumberFormat="1" applyBorder="1"/>
    <xf numFmtId="1" fontId="0" fillId="0" borderId="0" xfId="0" applyNumberFormat="1"/>
    <xf numFmtId="10" fontId="0" fillId="0" borderId="0" xfId="0" applyNumberFormat="1"/>
    <xf numFmtId="10" fontId="0" fillId="0" borderId="0" xfId="6" applyNumberFormat="1" applyFont="1" applyFill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7" fontId="0" fillId="0" borderId="7" xfId="0" applyNumberFormat="1" applyBorder="1"/>
    <xf numFmtId="167" fontId="0" fillId="0" borderId="0" xfId="0" applyNumberFormat="1"/>
    <xf numFmtId="44" fontId="4" fillId="0" borderId="6" xfId="1" applyFont="1" applyFill="1" applyBorder="1"/>
    <xf numFmtId="44" fontId="4" fillId="0" borderId="7" xfId="1" applyFont="1" applyFill="1" applyBorder="1"/>
    <xf numFmtId="10" fontId="0" fillId="0" borderId="8" xfId="3" applyNumberFormat="1" applyFont="1" applyFill="1" applyBorder="1"/>
    <xf numFmtId="165" fontId="4" fillId="0" borderId="6" xfId="1" applyNumberFormat="1" applyFont="1" applyFill="1" applyBorder="1"/>
    <xf numFmtId="165" fontId="0" fillId="0" borderId="6" xfId="0" applyNumberFormat="1" applyBorder="1"/>
    <xf numFmtId="168" fontId="4" fillId="0" borderId="6" xfId="1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9" fontId="0" fillId="0" borderId="0" xfId="0" applyNumberFormat="1"/>
    <xf numFmtId="2" fontId="0" fillId="0" borderId="0" xfId="0" applyNumberFormat="1"/>
    <xf numFmtId="165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3" applyNumberFormat="1" applyFont="1" applyFill="1" applyBorder="1"/>
    <xf numFmtId="0" fontId="3" fillId="0" borderId="0" xfId="0" applyFont="1"/>
    <xf numFmtId="44" fontId="4" fillId="0" borderId="0" xfId="1" applyFont="1" applyFill="1" applyBorder="1"/>
    <xf numFmtId="0" fontId="0" fillId="0" borderId="26" xfId="0" applyBorder="1"/>
    <xf numFmtId="164" fontId="0" fillId="0" borderId="26" xfId="0" applyNumberFormat="1" applyBorder="1"/>
    <xf numFmtId="165" fontId="0" fillId="0" borderId="26" xfId="0" applyNumberFormat="1" applyBorder="1"/>
    <xf numFmtId="2" fontId="0" fillId="0" borderId="26" xfId="0" applyNumberFormat="1" applyBorder="1"/>
    <xf numFmtId="9" fontId="0" fillId="0" borderId="26" xfId="0" applyNumberFormat="1" applyBorder="1"/>
    <xf numFmtId="10" fontId="0" fillId="0" borderId="27" xfId="3" applyNumberFormat="1" applyFont="1" applyFill="1" applyBorder="1"/>
    <xf numFmtId="44" fontId="4" fillId="0" borderId="28" xfId="1" applyFont="1" applyFill="1" applyBorder="1"/>
    <xf numFmtId="10" fontId="0" fillId="0" borderId="0" xfId="6" applyNumberFormat="1" applyFont="1" applyFill="1" applyBorder="1"/>
    <xf numFmtId="10" fontId="0" fillId="0" borderId="9" xfId="6" applyNumberFormat="1" applyFont="1" applyFill="1" applyBorder="1"/>
    <xf numFmtId="2" fontId="0" fillId="0" borderId="21" xfId="0" applyNumberFormat="1" applyBorder="1"/>
    <xf numFmtId="1" fontId="0" fillId="0" borderId="21" xfId="0" applyNumberFormat="1" applyBorder="1"/>
    <xf numFmtId="10" fontId="0" fillId="0" borderId="21" xfId="6" applyNumberFormat="1" applyFont="1" applyFill="1" applyBorder="1"/>
    <xf numFmtId="10" fontId="0" fillId="0" borderId="22" xfId="6" applyNumberFormat="1" applyFont="1" applyFill="1" applyBorder="1"/>
    <xf numFmtId="2" fontId="0" fillId="0" borderId="9" xfId="0" applyNumberFormat="1" applyBorder="1"/>
    <xf numFmtId="2" fontId="0" fillId="0" borderId="22" xfId="0" applyNumberFormat="1" applyBorder="1"/>
    <xf numFmtId="0" fontId="0" fillId="0" borderId="16" xfId="0" applyBorder="1"/>
    <xf numFmtId="166" fontId="0" fillId="0" borderId="17" xfId="0" applyNumberFormat="1" applyBorder="1"/>
    <xf numFmtId="10" fontId="0" fillId="0" borderId="0" xfId="6" applyNumberFormat="1" applyFont="1" applyBorder="1"/>
    <xf numFmtId="166" fontId="0" fillId="0" borderId="9" xfId="0" applyNumberFormat="1" applyBorder="1"/>
    <xf numFmtId="10" fontId="0" fillId="0" borderId="21" xfId="6" applyNumberFormat="1" applyFont="1" applyBorder="1"/>
    <xf numFmtId="166" fontId="0" fillId="0" borderId="21" xfId="0" applyNumberFormat="1" applyBorder="1"/>
    <xf numFmtId="165" fontId="4" fillId="0" borderId="28" xfId="1" applyNumberFormat="1" applyFont="1" applyFill="1" applyBorder="1"/>
    <xf numFmtId="167" fontId="0" fillId="0" borderId="26" xfId="0" applyNumberFormat="1" applyBorder="1"/>
    <xf numFmtId="0" fontId="0" fillId="0" borderId="30" xfId="0" applyBorder="1"/>
    <xf numFmtId="44" fontId="4" fillId="0" borderId="30" xfId="1" applyFont="1" applyFill="1" applyBorder="1"/>
    <xf numFmtId="44" fontId="4" fillId="0" borderId="32" xfId="1" applyFont="1" applyFill="1" applyBorder="1"/>
    <xf numFmtId="168" fontId="0" fillId="0" borderId="7" xfId="0" applyNumberFormat="1" applyBorder="1"/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5" xfId="0" applyFont="1" applyBorder="1"/>
    <xf numFmtId="0" fontId="9" fillId="0" borderId="0" xfId="0" applyFont="1"/>
    <xf numFmtId="2" fontId="0" fillId="0" borderId="0" xfId="6" applyNumberFormat="1" applyFont="1" applyFill="1" applyBorder="1"/>
    <xf numFmtId="2" fontId="0" fillId="0" borderId="21" xfId="6" applyNumberFormat="1" applyFont="1" applyFill="1" applyBorder="1"/>
    <xf numFmtId="2" fontId="9" fillId="0" borderId="23" xfId="0" applyNumberFormat="1" applyFont="1" applyBorder="1"/>
    <xf numFmtId="2" fontId="9" fillId="0" borderId="0" xfId="0" applyNumberFormat="1" applyFont="1"/>
    <xf numFmtId="2" fontId="9" fillId="0" borderId="25" xfId="0" applyNumberFormat="1" applyFont="1" applyBorder="1"/>
    <xf numFmtId="2" fontId="3" fillId="0" borderId="0" xfId="0" applyNumberFormat="1" applyFont="1" applyAlignment="1">
      <alignment horizontal="center"/>
    </xf>
    <xf numFmtId="1" fontId="0" fillId="0" borderId="30" xfId="0" applyNumberFormat="1" applyBorder="1"/>
    <xf numFmtId="1" fontId="0" fillId="0" borderId="6" xfId="0" applyNumberFormat="1" applyBorder="1"/>
    <xf numFmtId="2" fontId="0" fillId="0" borderId="0" xfId="3" applyNumberFormat="1" applyFont="1" applyFill="1" applyBorder="1"/>
    <xf numFmtId="165" fontId="4" fillId="0" borderId="30" xfId="1" applyNumberFormat="1" applyFont="1" applyFill="1" applyBorder="1"/>
    <xf numFmtId="165" fontId="4" fillId="0" borderId="32" xfId="1" applyNumberFormat="1" applyFont="1" applyFill="1" applyBorder="1"/>
    <xf numFmtId="169" fontId="0" fillId="0" borderId="0" xfId="6" applyNumberFormat="1" applyFont="1" applyFill="1" applyBorder="1"/>
    <xf numFmtId="0" fontId="3" fillId="0" borderId="2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2" borderId="23" xfId="0" applyFont="1" applyFill="1" applyBorder="1" applyAlignment="1">
      <alignment horizontal="center" vertical="center" textRotation="90" wrapText="1"/>
    </xf>
    <xf numFmtId="0" fontId="8" fillId="2" borderId="24" xfId="0" applyFont="1" applyFill="1" applyBorder="1" applyAlignment="1">
      <alignment horizontal="center" vertical="center" textRotation="90" wrapText="1"/>
    </xf>
    <xf numFmtId="0" fontId="8" fillId="2" borderId="25" xfId="0" applyFont="1" applyFill="1" applyBorder="1" applyAlignment="1">
      <alignment horizontal="center" vertical="center" textRotation="90" wrapText="1"/>
    </xf>
    <xf numFmtId="0" fontId="2" fillId="2" borderId="23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10" borderId="23" xfId="0" applyFont="1" applyFill="1" applyBorder="1" applyAlignment="1">
      <alignment horizontal="center" vertical="center" textRotation="90" wrapText="1"/>
    </xf>
    <xf numFmtId="0" fontId="2" fillId="10" borderId="24" xfId="0" applyFont="1" applyFill="1" applyBorder="1" applyAlignment="1">
      <alignment horizontal="center" vertical="center" textRotation="90" wrapText="1"/>
    </xf>
    <xf numFmtId="0" fontId="2" fillId="10" borderId="25" xfId="0" applyFont="1" applyFill="1" applyBorder="1" applyAlignment="1">
      <alignment horizontal="center" vertical="center" textRotation="90" wrapText="1"/>
    </xf>
    <xf numFmtId="0" fontId="2" fillId="2" borderId="23" xfId="0" applyFont="1" applyFill="1" applyBorder="1" applyAlignment="1">
      <alignment horizontal="center" vertical="center" textRotation="90"/>
    </xf>
    <xf numFmtId="0" fontId="2" fillId="2" borderId="24" xfId="0" applyFont="1" applyFill="1" applyBorder="1" applyAlignment="1">
      <alignment horizontal="center" vertical="center" textRotation="90"/>
    </xf>
    <xf numFmtId="0" fontId="2" fillId="2" borderId="25" xfId="0" applyFont="1" applyFill="1" applyBorder="1" applyAlignment="1">
      <alignment horizontal="center" vertical="center" textRotation="90"/>
    </xf>
    <xf numFmtId="0" fontId="3" fillId="0" borderId="31" xfId="0" applyFont="1" applyBorder="1" applyAlignment="1">
      <alignment horizontal="center"/>
    </xf>
    <xf numFmtId="0" fontId="2" fillId="9" borderId="23" xfId="0" applyFont="1" applyFill="1" applyBorder="1" applyAlignment="1">
      <alignment horizontal="center" vertical="center" textRotation="90"/>
    </xf>
    <xf numFmtId="0" fontId="2" fillId="9" borderId="24" xfId="0" applyFont="1" applyFill="1" applyBorder="1" applyAlignment="1">
      <alignment horizontal="center" vertical="center" textRotation="90"/>
    </xf>
    <xf numFmtId="0" fontId="2" fillId="9" borderId="25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10" borderId="23" xfId="0" applyFont="1" applyFill="1" applyBorder="1" applyAlignment="1">
      <alignment horizontal="center" vertical="center" textRotation="90" wrapText="1"/>
    </xf>
    <xf numFmtId="0" fontId="8" fillId="10" borderId="24" xfId="0" applyFont="1" applyFill="1" applyBorder="1" applyAlignment="1">
      <alignment horizontal="center" vertical="center" textRotation="90" wrapText="1"/>
    </xf>
    <xf numFmtId="0" fontId="8" fillId="10" borderId="2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7" fillId="9" borderId="23" xfId="0" applyFont="1" applyFill="1" applyBorder="1" applyAlignment="1">
      <alignment horizontal="center" vertical="center" textRotation="90"/>
    </xf>
    <xf numFmtId="0" fontId="7" fillId="9" borderId="24" xfId="0" applyFont="1" applyFill="1" applyBorder="1" applyAlignment="1">
      <alignment horizontal="center" vertical="center" textRotation="90"/>
    </xf>
    <xf numFmtId="0" fontId="7" fillId="9" borderId="25" xfId="0" applyFont="1" applyFill="1" applyBorder="1" applyAlignment="1">
      <alignment horizontal="center" vertical="center" textRotation="90"/>
    </xf>
    <xf numFmtId="171" fontId="4" fillId="0" borderId="6" xfId="1" applyNumberFormat="1" applyFont="1" applyFill="1" applyBorder="1"/>
  </cellXfs>
  <cellStyles count="7">
    <cellStyle name="Normalny" xfId="0" builtinId="0"/>
    <cellStyle name="Normalny 2" xfId="4" xr:uid="{8C98D64A-DBE4-44CF-BB0A-3B39AEF42B0F}"/>
    <cellStyle name="Normalny 3" xfId="2" xr:uid="{395240D5-4ADB-49F9-9F0D-3975F15866B4}"/>
    <cellStyle name="Procentowy" xfId="6" builtinId="5"/>
    <cellStyle name="Procentowy 2" xfId="3" xr:uid="{B64AB4E7-AB7A-4A43-ABFE-1BE9342AC90F}"/>
    <cellStyle name="Walutowy" xfId="1" builtinId="4"/>
    <cellStyle name="Walutowy 2" xfId="5" xr:uid="{7D66A880-FB20-4565-BCF1-C191021F8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5597A-B8CD-439B-AAE5-77EFB0454AB9}">
  <dimension ref="B1:V87"/>
  <sheetViews>
    <sheetView topLeftCell="A59" zoomScale="85" zoomScaleNormal="85" workbookViewId="0">
      <selection activeCell="F90" sqref="F90"/>
    </sheetView>
  </sheetViews>
  <sheetFormatPr defaultRowHeight="15" x14ac:dyDescent="0.25"/>
  <cols>
    <col min="2" max="2" width="7" customWidth="1"/>
    <col min="3" max="3" width="22.7109375" bestFit="1" customWidth="1"/>
    <col min="4" max="4" width="20.7109375" bestFit="1" customWidth="1"/>
    <col min="5" max="6" width="16.140625" bestFit="1" customWidth="1"/>
    <col min="7" max="7" width="22" bestFit="1" customWidth="1"/>
    <col min="8" max="8" width="20.7109375" bestFit="1" customWidth="1"/>
    <col min="9" max="9" width="18.5703125" bestFit="1" customWidth="1"/>
    <col min="10" max="10" width="13.140625" bestFit="1" customWidth="1"/>
    <col min="11" max="11" width="8.7109375" bestFit="1" customWidth="1"/>
    <col min="12" max="12" width="15" bestFit="1" customWidth="1"/>
    <col min="13" max="13" width="29.5703125" customWidth="1"/>
    <col min="14" max="14" width="25.5703125" customWidth="1"/>
    <col min="15" max="15" width="15.42578125" bestFit="1" customWidth="1"/>
    <col min="16" max="16" width="28.5703125" customWidth="1"/>
    <col min="17" max="17" width="24.5703125" customWidth="1"/>
    <col min="18" max="18" width="25.5703125" bestFit="1" customWidth="1"/>
    <col min="19" max="19" width="29.140625" bestFit="1" customWidth="1"/>
    <col min="20" max="20" width="7.140625" bestFit="1" customWidth="1"/>
    <col min="21" max="21" width="9.85546875" bestFit="1" customWidth="1"/>
    <col min="22" max="22" width="11.28515625" bestFit="1" customWidth="1"/>
  </cols>
  <sheetData>
    <row r="1" spans="2:22" ht="18.75" x14ac:dyDescent="0.3">
      <c r="B1" s="103" t="s">
        <v>94</v>
      </c>
      <c r="C1" s="97" t="s">
        <v>16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87" t="s">
        <v>122</v>
      </c>
      <c r="V1" s="90"/>
    </row>
    <row r="2" spans="2:22" ht="15.75" thickBot="1" x14ac:dyDescent="0.3">
      <c r="B2" s="104"/>
      <c r="C2" s="91" t="s">
        <v>113</v>
      </c>
      <c r="D2" s="92" t="s">
        <v>114</v>
      </c>
      <c r="E2" s="92"/>
      <c r="F2" s="92"/>
      <c r="G2" s="1" t="s">
        <v>1</v>
      </c>
      <c r="H2" s="3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12</v>
      </c>
      <c r="S2" s="2" t="s">
        <v>14</v>
      </c>
      <c r="T2" s="3" t="s">
        <v>15</v>
      </c>
      <c r="U2" s="89">
        <v>1.21</v>
      </c>
      <c r="V2" s="47"/>
    </row>
    <row r="3" spans="2:22" ht="15.75" x14ac:dyDescent="0.25">
      <c r="B3" s="104"/>
      <c r="C3" s="78">
        <v>0</v>
      </c>
      <c r="D3" s="34">
        <v>190</v>
      </c>
      <c r="E3" s="34"/>
      <c r="F3" s="34"/>
      <c r="G3" s="34">
        <f>AVERAGE(C3:D3)</f>
        <v>95</v>
      </c>
      <c r="H3" s="32">
        <v>0</v>
      </c>
      <c r="I3" s="2">
        <v>1.4630000000000001</v>
      </c>
      <c r="J3" s="2">
        <v>5.21</v>
      </c>
      <c r="K3" s="2">
        <v>1.23</v>
      </c>
      <c r="L3" s="2">
        <v>0</v>
      </c>
      <c r="M3" s="2">
        <v>1</v>
      </c>
      <c r="N3" s="2">
        <v>0</v>
      </c>
      <c r="O3" s="6">
        <v>0.18</v>
      </c>
      <c r="P3" s="2">
        <v>0</v>
      </c>
      <c r="Q3" s="7">
        <f>(G3+L3)*I3*J3*K3*M3+N3+P3</f>
        <v>890.65757550000012</v>
      </c>
      <c r="R3" s="8">
        <f>((Q3/1.21)-P3)*0.18</f>
        <v>132.49451536363637</v>
      </c>
      <c r="S3" s="8">
        <f>G3*J3+H3*J3+R3</f>
        <v>627.44451536363636</v>
      </c>
      <c r="T3" s="36">
        <f>(Q3/1.21-S3)/(Q3/1.21)</f>
        <v>0.1475872608350145</v>
      </c>
      <c r="U3" s="93"/>
      <c r="V3" s="93"/>
    </row>
    <row r="4" spans="2:22" ht="15.75" x14ac:dyDescent="0.25">
      <c r="B4" s="104"/>
      <c r="C4" s="78">
        <v>190</v>
      </c>
      <c r="D4" s="34">
        <v>380</v>
      </c>
      <c r="E4" s="34"/>
      <c r="F4" s="34"/>
      <c r="G4" s="34">
        <f t="shared" ref="G4:G6" si="0">AVERAGE(C4:D4)</f>
        <v>285</v>
      </c>
      <c r="H4" s="32">
        <v>0</v>
      </c>
      <c r="I4" s="2">
        <v>1.4319999999999999</v>
      </c>
      <c r="J4" s="2">
        <v>5.21</v>
      </c>
      <c r="K4" s="2">
        <v>1.23</v>
      </c>
      <c r="L4" s="2">
        <v>0</v>
      </c>
      <c r="M4" s="2">
        <v>1</v>
      </c>
      <c r="N4" s="2">
        <v>0</v>
      </c>
      <c r="O4" s="6">
        <v>0.18</v>
      </c>
      <c r="P4" s="2">
        <v>0</v>
      </c>
      <c r="Q4" s="7">
        <f>(G4+L4)*I4*J4*K4*M4+N4+P4</f>
        <v>2615.3553959999995</v>
      </c>
      <c r="R4" s="8">
        <f t="shared" ref="R4:R7" si="1">((Q4/1.21)-P4)*0.18</f>
        <v>389.06113328925608</v>
      </c>
      <c r="S4" s="8">
        <f>G4*J4+H4*J4+R4</f>
        <v>1873.911133289256</v>
      </c>
      <c r="T4" s="36">
        <f>(Q4/1.21-S4)/(Q4/1.21)</f>
        <v>0.13303083980560462</v>
      </c>
      <c r="U4" s="93"/>
      <c r="V4" s="93"/>
    </row>
    <row r="5" spans="2:22" ht="15.75" x14ac:dyDescent="0.25">
      <c r="B5" s="104"/>
      <c r="C5" s="78">
        <f>D4</f>
        <v>380</v>
      </c>
      <c r="D5" s="34">
        <v>760</v>
      </c>
      <c r="E5" s="34"/>
      <c r="F5" s="34"/>
      <c r="G5" s="34">
        <f t="shared" si="0"/>
        <v>570</v>
      </c>
      <c r="H5" s="32">
        <v>0</v>
      </c>
      <c r="I5" s="2">
        <v>1.4</v>
      </c>
      <c r="J5" s="2">
        <v>5.21</v>
      </c>
      <c r="K5" s="2">
        <v>1.23</v>
      </c>
      <c r="L5" s="2">
        <v>0</v>
      </c>
      <c r="M5" s="2">
        <v>1</v>
      </c>
      <c r="N5" s="2">
        <v>0</v>
      </c>
      <c r="O5" s="6">
        <v>0.18</v>
      </c>
      <c r="P5" s="2">
        <v>0</v>
      </c>
      <c r="Q5" s="7">
        <f>(G5+L5)*I5*J5*K5*M5+N5+P5</f>
        <v>5113.8234000000002</v>
      </c>
      <c r="R5" s="8">
        <f t="shared" si="1"/>
        <v>760.73405950413223</v>
      </c>
      <c r="S5" s="8">
        <f>G5*J5+H5*J5+R5</f>
        <v>3730.4340595041322</v>
      </c>
      <c r="T5" s="36">
        <f>(Q5/1.21-S5)/(Q5/1.21)</f>
        <v>0.11732868757259002</v>
      </c>
      <c r="U5" s="93"/>
      <c r="V5" s="93"/>
    </row>
    <row r="6" spans="2:22" ht="15.75" x14ac:dyDescent="0.25">
      <c r="B6" s="104"/>
      <c r="C6" s="78">
        <f t="shared" ref="C6:C7" si="2">D5</f>
        <v>760</v>
      </c>
      <c r="D6" s="34">
        <v>1140</v>
      </c>
      <c r="E6" s="34"/>
      <c r="F6" s="34"/>
      <c r="G6" s="34">
        <f t="shared" si="0"/>
        <v>950</v>
      </c>
      <c r="H6" s="32">
        <v>0</v>
      </c>
      <c r="I6" s="2">
        <v>1.38</v>
      </c>
      <c r="J6" s="2">
        <v>5.21</v>
      </c>
      <c r="K6" s="2">
        <v>1.23</v>
      </c>
      <c r="L6" s="2">
        <v>0</v>
      </c>
      <c r="M6" s="2">
        <v>1</v>
      </c>
      <c r="N6" s="2">
        <v>0</v>
      </c>
      <c r="O6" s="6">
        <v>0.18</v>
      </c>
      <c r="P6" s="2">
        <v>0</v>
      </c>
      <c r="Q6" s="7">
        <f>(G6+L6)*I6*J6*K6*M6+N6+P6</f>
        <v>8401.2813000000006</v>
      </c>
      <c r="R6" s="8">
        <f t="shared" si="1"/>
        <v>1249.7773834710745</v>
      </c>
      <c r="S6" s="8">
        <f>G6*J6+H6*J6+R6</f>
        <v>6199.2773834710742</v>
      </c>
      <c r="T6" s="36">
        <f>(Q6/1.21-S6)/(Q6/1.21)</f>
        <v>0.10714504536349724</v>
      </c>
      <c r="U6" s="93"/>
      <c r="V6" s="93"/>
    </row>
    <row r="7" spans="2:22" ht="15.75" x14ac:dyDescent="0.25">
      <c r="B7" s="104"/>
      <c r="C7" s="78">
        <f t="shared" si="2"/>
        <v>1140</v>
      </c>
      <c r="D7" s="35"/>
      <c r="E7" s="35"/>
      <c r="F7" s="35"/>
      <c r="G7" s="35">
        <v>2500</v>
      </c>
      <c r="H7" s="32">
        <v>0</v>
      </c>
      <c r="I7" s="2">
        <v>1.3580000000000001</v>
      </c>
      <c r="J7" s="2">
        <v>5.21</v>
      </c>
      <c r="K7" s="2">
        <v>1.23</v>
      </c>
      <c r="L7" s="2">
        <v>0</v>
      </c>
      <c r="M7" s="2">
        <v>1</v>
      </c>
      <c r="N7" s="2">
        <v>0</v>
      </c>
      <c r="O7" s="6">
        <v>0.18</v>
      </c>
      <c r="P7" s="2">
        <v>0</v>
      </c>
      <c r="Q7" s="7">
        <f>(G7+L7)*I7*J7*K7*M7+N7+P7</f>
        <v>21756.178500000002</v>
      </c>
      <c r="R7" s="8">
        <f t="shared" si="1"/>
        <v>3236.4563057851246</v>
      </c>
      <c r="S7" s="8">
        <f>G7*J7+H7*J7+R7</f>
        <v>16261.456305785125</v>
      </c>
      <c r="T7" s="36">
        <f>(Q7/1.21-S7)/(Q7/1.21)</f>
        <v>9.5596585126381611E-2</v>
      </c>
      <c r="U7" s="93"/>
      <c r="V7" s="93"/>
    </row>
    <row r="8" spans="2:22" ht="18.75" x14ac:dyDescent="0.3">
      <c r="B8" s="104"/>
      <c r="C8" s="110" t="s">
        <v>17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2"/>
      <c r="U8" s="47"/>
      <c r="V8" s="47"/>
    </row>
    <row r="9" spans="2:22" ht="18.75" x14ac:dyDescent="0.3">
      <c r="B9" s="104"/>
      <c r="C9" s="113" t="s">
        <v>111</v>
      </c>
      <c r="D9" s="114"/>
      <c r="E9" s="114" t="s">
        <v>112</v>
      </c>
      <c r="F9" s="114"/>
      <c r="T9" s="18"/>
      <c r="U9" s="90"/>
      <c r="V9" s="90"/>
    </row>
    <row r="10" spans="2:22" x14ac:dyDescent="0.25">
      <c r="B10" s="104"/>
      <c r="C10" s="77" t="s">
        <v>113</v>
      </c>
      <c r="D10" s="2" t="s">
        <v>114</v>
      </c>
      <c r="E10" s="2" t="s">
        <v>113</v>
      </c>
      <c r="F10" s="2" t="s">
        <v>114</v>
      </c>
      <c r="G10" s="1" t="s">
        <v>1</v>
      </c>
      <c r="H10" s="32" t="s">
        <v>2</v>
      </c>
      <c r="I10" s="2" t="s">
        <v>3</v>
      </c>
      <c r="J10" s="2" t="s">
        <v>4</v>
      </c>
      <c r="K10" s="2" t="s">
        <v>5</v>
      </c>
      <c r="L10" s="2" t="s">
        <v>6</v>
      </c>
      <c r="M10" s="2" t="s">
        <v>7</v>
      </c>
      <c r="N10" s="2" t="s">
        <v>8</v>
      </c>
      <c r="O10" s="2" t="s">
        <v>9</v>
      </c>
      <c r="P10" s="2" t="s">
        <v>10</v>
      </c>
      <c r="Q10" s="2" t="s">
        <v>11</v>
      </c>
      <c r="R10" s="2" t="s">
        <v>12</v>
      </c>
      <c r="S10" s="2" t="s">
        <v>14</v>
      </c>
      <c r="T10" s="3" t="s">
        <v>15</v>
      </c>
      <c r="U10" t="s">
        <v>119</v>
      </c>
      <c r="V10" t="s">
        <v>120</v>
      </c>
    </row>
    <row r="11" spans="2:22" ht="15.75" x14ac:dyDescent="0.25">
      <c r="B11" s="104"/>
      <c r="C11" s="94">
        <v>0</v>
      </c>
      <c r="D11" s="37">
        <v>525</v>
      </c>
      <c r="E11" s="37">
        <v>0</v>
      </c>
      <c r="F11" s="37">
        <f t="shared" ref="F11:F23" si="3">ROUND((D11/(I11*K11)),2)</f>
        <v>307.07</v>
      </c>
      <c r="G11" s="37">
        <f>ROUND(AVERAGE(E11:F11),2)</f>
        <v>153.54</v>
      </c>
      <c r="H11" s="32">
        <v>0</v>
      </c>
      <c r="I11" s="2">
        <v>1.39</v>
      </c>
      <c r="J11" s="2">
        <v>1</v>
      </c>
      <c r="K11" s="2">
        <v>1.23</v>
      </c>
      <c r="L11" s="2">
        <v>0</v>
      </c>
      <c r="M11" s="2">
        <v>1</v>
      </c>
      <c r="N11" s="2">
        <v>0</v>
      </c>
      <c r="O11" s="6">
        <v>0.18</v>
      </c>
      <c r="P11" s="2">
        <v>0</v>
      </c>
      <c r="Q11" s="7">
        <f t="shared" ref="Q11:Q23" si="4">G11*I11*K11+L11+P11</f>
        <v>262.50733799999995</v>
      </c>
      <c r="R11" s="7">
        <f>((Q11-P11)/$U$2)*0.18</f>
        <v>39.05067838016528</v>
      </c>
      <c r="S11" s="8">
        <f t="shared" ref="S11:S23" si="5">G11+R11</f>
        <v>192.59067838016529</v>
      </c>
      <c r="T11" s="36">
        <f>(Q11/$U$2-S11)/(Q11/$U$2)</f>
        <v>0.11227349827455101</v>
      </c>
      <c r="U11" s="93">
        <v>0</v>
      </c>
      <c r="V11" s="93">
        <f t="shared" ref="V11:V23" si="6">F11*I11*K11+L11</f>
        <v>524.99757899999997</v>
      </c>
    </row>
    <row r="12" spans="2:22" ht="15.75" x14ac:dyDescent="0.25">
      <c r="B12" s="104"/>
      <c r="C12" s="94">
        <v>525</v>
      </c>
      <c r="D12" s="37">
        <v>780</v>
      </c>
      <c r="E12" s="37">
        <f>F11</f>
        <v>307.07</v>
      </c>
      <c r="F12" s="37">
        <f t="shared" si="3"/>
        <v>456.22</v>
      </c>
      <c r="G12" s="37">
        <f t="shared" ref="G12:G23" si="7">ROUND(AVERAGE(E12:F12),2)</f>
        <v>381.65</v>
      </c>
      <c r="H12" s="32">
        <v>0</v>
      </c>
      <c r="I12" s="2">
        <v>1.39</v>
      </c>
      <c r="J12" s="2">
        <v>1</v>
      </c>
      <c r="K12" s="2">
        <v>1.23</v>
      </c>
      <c r="L12" s="2">
        <v>-83</v>
      </c>
      <c r="M12" s="2">
        <v>1</v>
      </c>
      <c r="N12" s="2">
        <v>0</v>
      </c>
      <c r="O12" s="6">
        <v>0.18</v>
      </c>
      <c r="P12" s="2">
        <v>69</v>
      </c>
      <c r="Q12" s="7">
        <f t="shared" si="4"/>
        <v>638.50700499999994</v>
      </c>
      <c r="R12" s="7">
        <f t="shared" ref="R12:R23" si="8">((Q12-P12)/$U$2)*0.18</f>
        <v>84.720050330578502</v>
      </c>
      <c r="S12" s="8">
        <f t="shared" si="5"/>
        <v>466.37005033057847</v>
      </c>
      <c r="T12" s="36">
        <f t="shared" ref="T12:T23" si="9">(Q12/$U$2-S12)/(Q12/$U$2)</f>
        <v>0.1162074080925705</v>
      </c>
      <c r="U12" s="93">
        <f t="shared" ref="U12:U23" si="10">E12*I12*K12+L12</f>
        <v>441.99757899999997</v>
      </c>
      <c r="V12" s="93">
        <f t="shared" si="6"/>
        <v>696.99933399999998</v>
      </c>
    </row>
    <row r="13" spans="2:22" ht="15.75" x14ac:dyDescent="0.25">
      <c r="B13" s="104"/>
      <c r="C13" s="94">
        <v>780</v>
      </c>
      <c r="D13" s="37">
        <v>1918</v>
      </c>
      <c r="E13" s="37">
        <f t="shared" ref="E13:E23" si="11">F12</f>
        <v>456.22</v>
      </c>
      <c r="F13" s="37">
        <f t="shared" si="3"/>
        <v>1121.83</v>
      </c>
      <c r="G13" s="37">
        <f t="shared" si="7"/>
        <v>789.03</v>
      </c>
      <c r="H13" s="32">
        <v>0</v>
      </c>
      <c r="I13" s="2">
        <v>1.39</v>
      </c>
      <c r="J13" s="2">
        <v>1</v>
      </c>
      <c r="K13" s="2">
        <v>1.23</v>
      </c>
      <c r="L13" s="2">
        <v>-165</v>
      </c>
      <c r="M13" s="2">
        <v>1</v>
      </c>
      <c r="N13" s="2">
        <v>0</v>
      </c>
      <c r="O13" s="6">
        <v>0.18</v>
      </c>
      <c r="P13" s="2">
        <v>129</v>
      </c>
      <c r="Q13" s="7">
        <f t="shared" si="4"/>
        <v>1313.0045909999997</v>
      </c>
      <c r="R13" s="7">
        <f t="shared" si="8"/>
        <v>176.13291436363633</v>
      </c>
      <c r="S13" s="8">
        <f t="shared" si="5"/>
        <v>965.16291436363633</v>
      </c>
      <c r="T13" s="36">
        <f t="shared" si="9"/>
        <v>0.11055366113339025</v>
      </c>
      <c r="U13" s="93">
        <f t="shared" si="10"/>
        <v>614.99933399999998</v>
      </c>
      <c r="V13" s="93">
        <f t="shared" si="6"/>
        <v>1752.9927509999998</v>
      </c>
    </row>
    <row r="14" spans="2:22" ht="15.75" x14ac:dyDescent="0.25">
      <c r="B14" s="104"/>
      <c r="C14" s="94">
        <v>1918</v>
      </c>
      <c r="D14" s="37">
        <v>3150</v>
      </c>
      <c r="E14" s="37">
        <f t="shared" si="11"/>
        <v>1121.83</v>
      </c>
      <c r="F14" s="37">
        <f t="shared" si="3"/>
        <v>1842.43</v>
      </c>
      <c r="G14" s="37">
        <f t="shared" si="7"/>
        <v>1482.13</v>
      </c>
      <c r="H14" s="32">
        <v>0</v>
      </c>
      <c r="I14" s="2">
        <v>1.39</v>
      </c>
      <c r="J14" s="2">
        <v>1</v>
      </c>
      <c r="K14" s="2">
        <v>1.23</v>
      </c>
      <c r="L14" s="2">
        <v>-300</v>
      </c>
      <c r="M14" s="2">
        <v>1</v>
      </c>
      <c r="N14" s="2">
        <v>0</v>
      </c>
      <c r="O14" s="6">
        <v>0.18</v>
      </c>
      <c r="P14" s="2">
        <v>229</v>
      </c>
      <c r="Q14" s="7">
        <f t="shared" si="4"/>
        <v>2462.9976609999999</v>
      </c>
      <c r="R14" s="7">
        <f t="shared" si="8"/>
        <v>332.33023056198346</v>
      </c>
      <c r="S14" s="8">
        <f t="shared" si="5"/>
        <v>1814.4602305619835</v>
      </c>
      <c r="T14" s="36">
        <f t="shared" si="9"/>
        <v>0.1086078100096092</v>
      </c>
      <c r="U14" s="93">
        <f t="shared" si="10"/>
        <v>1617.9927509999998</v>
      </c>
      <c r="V14" s="93">
        <f t="shared" si="6"/>
        <v>2850.002571</v>
      </c>
    </row>
    <row r="15" spans="2:22" ht="15.75" x14ac:dyDescent="0.25">
      <c r="B15" s="104"/>
      <c r="C15" s="94">
        <f>D14</f>
        <v>3150</v>
      </c>
      <c r="D15" s="37">
        <v>4700</v>
      </c>
      <c r="E15" s="37">
        <f t="shared" si="11"/>
        <v>1842.43</v>
      </c>
      <c r="F15" s="37">
        <f t="shared" si="3"/>
        <v>2749.02</v>
      </c>
      <c r="G15" s="37">
        <f t="shared" si="7"/>
        <v>2295.73</v>
      </c>
      <c r="H15" s="32">
        <v>0</v>
      </c>
      <c r="I15" s="2">
        <v>1.39</v>
      </c>
      <c r="J15" s="2">
        <v>1</v>
      </c>
      <c r="K15" s="2">
        <v>1.23</v>
      </c>
      <c r="L15" s="2">
        <v>-460</v>
      </c>
      <c r="M15" s="2">
        <v>1</v>
      </c>
      <c r="N15" s="2">
        <v>0</v>
      </c>
      <c r="O15" s="6">
        <v>0.18</v>
      </c>
      <c r="P15" s="2">
        <v>329</v>
      </c>
      <c r="Q15" s="7">
        <f t="shared" si="4"/>
        <v>3794.0095809999998</v>
      </c>
      <c r="R15" s="7">
        <f t="shared" si="8"/>
        <v>515.45597072727264</v>
      </c>
      <c r="S15" s="8">
        <f t="shared" si="5"/>
        <v>2811.1859707272724</v>
      </c>
      <c r="T15" s="36">
        <f t="shared" si="9"/>
        <v>0.10344585274256328</v>
      </c>
      <c r="U15" s="93">
        <f t="shared" si="10"/>
        <v>2690.002571</v>
      </c>
      <c r="V15" s="93">
        <f t="shared" si="6"/>
        <v>4239.9994939999997</v>
      </c>
    </row>
    <row r="16" spans="2:22" ht="15.75" x14ac:dyDescent="0.25">
      <c r="B16" s="104"/>
      <c r="C16" s="94">
        <f t="shared" ref="C16" si="12">D15</f>
        <v>4700</v>
      </c>
      <c r="D16" s="37">
        <v>6300</v>
      </c>
      <c r="E16" s="37">
        <f t="shared" si="11"/>
        <v>2749.02</v>
      </c>
      <c r="F16" s="37">
        <f t="shared" si="3"/>
        <v>3684.86</v>
      </c>
      <c r="G16" s="37">
        <f t="shared" si="7"/>
        <v>3216.94</v>
      </c>
      <c r="H16" s="32">
        <v>0</v>
      </c>
      <c r="I16" s="2">
        <v>1.39</v>
      </c>
      <c r="J16" s="2">
        <v>1</v>
      </c>
      <c r="K16" s="2">
        <v>1.23</v>
      </c>
      <c r="L16" s="2">
        <v>-610</v>
      </c>
      <c r="M16" s="2">
        <v>1</v>
      </c>
      <c r="N16" s="2">
        <v>0</v>
      </c>
      <c r="O16" s="6">
        <v>0.18</v>
      </c>
      <c r="P16" s="2">
        <v>419</v>
      </c>
      <c r="Q16" s="7">
        <f t="shared" si="4"/>
        <v>5309.0023179999998</v>
      </c>
      <c r="R16" s="7">
        <f t="shared" si="8"/>
        <v>727.43836135537185</v>
      </c>
      <c r="S16" s="8">
        <f t="shared" si="5"/>
        <v>3944.3783613553719</v>
      </c>
      <c r="T16" s="36">
        <f t="shared" si="9"/>
        <v>0.10101794435871261</v>
      </c>
      <c r="U16" s="93">
        <f t="shared" si="10"/>
        <v>4089.9994939999997</v>
      </c>
      <c r="V16" s="93">
        <f t="shared" si="6"/>
        <v>5690.005142</v>
      </c>
    </row>
    <row r="17" spans="2:22" ht="15.75" x14ac:dyDescent="0.25">
      <c r="B17" s="104"/>
      <c r="C17" s="94">
        <f>D16</f>
        <v>6300</v>
      </c>
      <c r="D17" s="37">
        <v>7900</v>
      </c>
      <c r="E17" s="37">
        <f t="shared" si="11"/>
        <v>3684.86</v>
      </c>
      <c r="F17" s="37">
        <f t="shared" si="3"/>
        <v>4620.6899999999996</v>
      </c>
      <c r="G17" s="37">
        <f t="shared" si="7"/>
        <v>4152.78</v>
      </c>
      <c r="H17" s="32">
        <v>0</v>
      </c>
      <c r="I17" s="2">
        <v>1.39</v>
      </c>
      <c r="J17" s="2">
        <v>1</v>
      </c>
      <c r="K17" s="2">
        <v>1.23</v>
      </c>
      <c r="L17" s="2">
        <v>-735</v>
      </c>
      <c r="M17" s="2">
        <v>1</v>
      </c>
      <c r="N17" s="2">
        <v>0</v>
      </c>
      <c r="O17" s="6">
        <v>0.18</v>
      </c>
      <c r="P17" s="2">
        <v>469</v>
      </c>
      <c r="Q17" s="7">
        <f t="shared" si="4"/>
        <v>6834.0079659999983</v>
      </c>
      <c r="R17" s="7">
        <f t="shared" si="8"/>
        <v>946.86068915702447</v>
      </c>
      <c r="S17" s="8">
        <f t="shared" si="5"/>
        <v>5099.6406891570241</v>
      </c>
      <c r="T17" s="36">
        <f t="shared" si="9"/>
        <v>9.7079595959019258E-2</v>
      </c>
      <c r="U17" s="93">
        <f t="shared" si="10"/>
        <v>5565.005142</v>
      </c>
      <c r="V17" s="93">
        <f t="shared" si="6"/>
        <v>7164.9936929999994</v>
      </c>
    </row>
    <row r="18" spans="2:22" ht="15.75" x14ac:dyDescent="0.25">
      <c r="B18" s="104"/>
      <c r="C18" s="94">
        <f t="shared" ref="C18:C23" si="13">D17</f>
        <v>7900</v>
      </c>
      <c r="D18" s="37">
        <v>9500</v>
      </c>
      <c r="E18" s="37">
        <f t="shared" si="11"/>
        <v>4620.6899999999996</v>
      </c>
      <c r="F18" s="37">
        <f t="shared" si="3"/>
        <v>5556.53</v>
      </c>
      <c r="G18" s="37">
        <f t="shared" si="7"/>
        <v>5088.6099999999997</v>
      </c>
      <c r="H18" s="32">
        <v>0</v>
      </c>
      <c r="I18" s="2">
        <v>1.39</v>
      </c>
      <c r="J18" s="2">
        <v>1</v>
      </c>
      <c r="K18" s="2">
        <v>1.23</v>
      </c>
      <c r="L18" s="2">
        <v>-880</v>
      </c>
      <c r="M18" s="2">
        <v>1</v>
      </c>
      <c r="N18" s="2">
        <v>0</v>
      </c>
      <c r="O18" s="6">
        <v>0.18</v>
      </c>
      <c r="P18" s="2">
        <v>519</v>
      </c>
      <c r="Q18" s="7">
        <f t="shared" si="4"/>
        <v>8338.9965169999996</v>
      </c>
      <c r="R18" s="7">
        <f t="shared" si="8"/>
        <v>1163.3052669917354</v>
      </c>
      <c r="S18" s="8">
        <f t="shared" si="5"/>
        <v>6251.9152669917348</v>
      </c>
      <c r="T18" s="36">
        <f t="shared" si="9"/>
        <v>9.2838393967637295E-2</v>
      </c>
      <c r="U18" s="93">
        <f t="shared" si="10"/>
        <v>7019.9936929999994</v>
      </c>
      <c r="V18" s="93">
        <f t="shared" si="6"/>
        <v>8619.9993409999988</v>
      </c>
    </row>
    <row r="19" spans="2:22" ht="15.75" x14ac:dyDescent="0.25">
      <c r="B19" s="104"/>
      <c r="C19" s="94">
        <f t="shared" si="13"/>
        <v>9500</v>
      </c>
      <c r="D19" s="37">
        <v>13150</v>
      </c>
      <c r="E19" s="37">
        <f t="shared" si="11"/>
        <v>5556.53</v>
      </c>
      <c r="F19" s="37">
        <f t="shared" si="3"/>
        <v>7691.41</v>
      </c>
      <c r="G19" s="37">
        <f t="shared" si="7"/>
        <v>6623.97</v>
      </c>
      <c r="H19" s="32">
        <v>0</v>
      </c>
      <c r="I19" s="2">
        <v>1.39</v>
      </c>
      <c r="J19" s="2">
        <v>1</v>
      </c>
      <c r="K19" s="2">
        <v>1.23</v>
      </c>
      <c r="L19" s="2">
        <v>-1100</v>
      </c>
      <c r="M19" s="2">
        <v>1</v>
      </c>
      <c r="N19" s="2">
        <v>0</v>
      </c>
      <c r="O19" s="6">
        <v>0.18</v>
      </c>
      <c r="P19" s="2">
        <v>609</v>
      </c>
      <c r="Q19" s="7">
        <f t="shared" si="4"/>
        <v>10834.001508999998</v>
      </c>
      <c r="R19" s="7">
        <f t="shared" si="8"/>
        <v>1521.0746046446277</v>
      </c>
      <c r="S19" s="8">
        <f t="shared" si="5"/>
        <v>8145.0446046446277</v>
      </c>
      <c r="T19" s="36">
        <f t="shared" si="9"/>
        <v>9.0317279037403109E-2</v>
      </c>
      <c r="U19" s="93">
        <f t="shared" si="10"/>
        <v>8399.9993409999988</v>
      </c>
      <c r="V19" s="93">
        <f t="shared" si="6"/>
        <v>12050.003676999997</v>
      </c>
    </row>
    <row r="20" spans="2:22" ht="15.75" x14ac:dyDescent="0.25">
      <c r="B20" s="104"/>
      <c r="C20" s="94">
        <f t="shared" si="13"/>
        <v>13150</v>
      </c>
      <c r="D20" s="37">
        <v>22000</v>
      </c>
      <c r="E20" s="37">
        <f t="shared" si="11"/>
        <v>7691.41</v>
      </c>
      <c r="F20" s="37">
        <f t="shared" si="3"/>
        <v>12867.75</v>
      </c>
      <c r="G20" s="37">
        <f t="shared" si="7"/>
        <v>10279.58</v>
      </c>
      <c r="H20" s="32">
        <v>0</v>
      </c>
      <c r="I20" s="2">
        <v>1.39</v>
      </c>
      <c r="J20" s="2">
        <v>1</v>
      </c>
      <c r="K20" s="2">
        <v>1.23</v>
      </c>
      <c r="L20" s="2">
        <v>-1570</v>
      </c>
      <c r="M20" s="2">
        <v>1</v>
      </c>
      <c r="N20" s="2">
        <v>0</v>
      </c>
      <c r="O20" s="6">
        <v>0.18</v>
      </c>
      <c r="P20" s="2">
        <v>679</v>
      </c>
      <c r="Q20" s="7">
        <f t="shared" si="4"/>
        <v>16683.997925999996</v>
      </c>
      <c r="R20" s="7">
        <f t="shared" si="8"/>
        <v>2380.9087823801647</v>
      </c>
      <c r="S20" s="8">
        <f t="shared" si="5"/>
        <v>12660.488782380166</v>
      </c>
      <c r="T20" s="36">
        <f t="shared" si="9"/>
        <v>8.1803324681137102E-2</v>
      </c>
      <c r="U20" s="93">
        <f t="shared" si="10"/>
        <v>11580.003676999997</v>
      </c>
      <c r="V20" s="93">
        <f t="shared" si="6"/>
        <v>20429.992174999996</v>
      </c>
    </row>
    <row r="21" spans="2:22" ht="15.75" x14ac:dyDescent="0.25">
      <c r="B21" s="104"/>
      <c r="C21" s="94">
        <f t="shared" si="13"/>
        <v>22000</v>
      </c>
      <c r="D21" s="37">
        <v>27500</v>
      </c>
      <c r="E21" s="37">
        <f t="shared" si="11"/>
        <v>12867.75</v>
      </c>
      <c r="F21" s="37">
        <f t="shared" si="3"/>
        <v>16084.69</v>
      </c>
      <c r="G21" s="37">
        <f t="shared" si="7"/>
        <v>14476.22</v>
      </c>
      <c r="H21" s="32">
        <v>0</v>
      </c>
      <c r="I21" s="2">
        <v>1.39</v>
      </c>
      <c r="J21" s="2">
        <v>1</v>
      </c>
      <c r="K21" s="2">
        <v>1.23</v>
      </c>
      <c r="L21" s="2">
        <v>-1950</v>
      </c>
      <c r="M21" s="2">
        <v>1</v>
      </c>
      <c r="N21" s="2">
        <v>0</v>
      </c>
      <c r="O21" s="6">
        <v>0.18</v>
      </c>
      <c r="P21" s="2">
        <v>679</v>
      </c>
      <c r="Q21" s="7">
        <f t="shared" si="4"/>
        <v>23478.993333999995</v>
      </c>
      <c r="R21" s="7">
        <f t="shared" si="8"/>
        <v>3391.7345455537184</v>
      </c>
      <c r="S21" s="8">
        <f t="shared" si="5"/>
        <v>17867.954545553719</v>
      </c>
      <c r="T21" s="36">
        <f t="shared" si="9"/>
        <v>7.916729254266229E-2</v>
      </c>
      <c r="U21" s="93">
        <f t="shared" si="10"/>
        <v>20049.992174999996</v>
      </c>
      <c r="V21" s="93">
        <f t="shared" si="6"/>
        <v>25549.994492999998</v>
      </c>
    </row>
    <row r="22" spans="2:22" ht="15.75" x14ac:dyDescent="0.25">
      <c r="B22" s="104"/>
      <c r="C22" s="94">
        <f t="shared" si="13"/>
        <v>27500</v>
      </c>
      <c r="D22" s="37">
        <v>35000</v>
      </c>
      <c r="E22" s="37">
        <f t="shared" si="11"/>
        <v>16084.69</v>
      </c>
      <c r="F22" s="37">
        <f t="shared" si="3"/>
        <v>20471.43</v>
      </c>
      <c r="G22" s="37">
        <f t="shared" si="7"/>
        <v>18278.060000000001</v>
      </c>
      <c r="H22" s="32">
        <v>0</v>
      </c>
      <c r="I22" s="2">
        <v>1.39</v>
      </c>
      <c r="J22" s="2">
        <v>1</v>
      </c>
      <c r="K22" s="2">
        <v>1.23</v>
      </c>
      <c r="L22" s="2">
        <v>-2500</v>
      </c>
      <c r="M22" s="2">
        <v>1</v>
      </c>
      <c r="N22" s="2">
        <v>0</v>
      </c>
      <c r="O22" s="6">
        <v>0.18</v>
      </c>
      <c r="P22" s="2">
        <v>679</v>
      </c>
      <c r="Q22" s="7">
        <f t="shared" si="4"/>
        <v>29428.999182</v>
      </c>
      <c r="R22" s="7">
        <f t="shared" si="8"/>
        <v>4276.8593824462805</v>
      </c>
      <c r="S22" s="8">
        <f t="shared" si="5"/>
        <v>22554.919382446282</v>
      </c>
      <c r="T22" s="36">
        <f t="shared" si="9"/>
        <v>7.2634027274274773E-2</v>
      </c>
      <c r="U22" s="93">
        <f t="shared" si="10"/>
        <v>24999.994492999998</v>
      </c>
      <c r="V22" s="93">
        <f t="shared" si="6"/>
        <v>32500.003870999994</v>
      </c>
    </row>
    <row r="23" spans="2:22" ht="16.5" thickBot="1" x14ac:dyDescent="0.3">
      <c r="B23" s="105"/>
      <c r="C23" s="95">
        <f t="shared" si="13"/>
        <v>35000</v>
      </c>
      <c r="D23" s="75">
        <v>45000</v>
      </c>
      <c r="E23" s="75">
        <f t="shared" si="11"/>
        <v>20471.43</v>
      </c>
      <c r="F23" s="75">
        <f t="shared" si="3"/>
        <v>26320.41</v>
      </c>
      <c r="G23" s="75">
        <f t="shared" si="7"/>
        <v>23395.919999999998</v>
      </c>
      <c r="H23" s="76">
        <v>0</v>
      </c>
      <c r="I23" s="54">
        <v>1.39</v>
      </c>
      <c r="J23" s="54">
        <v>1</v>
      </c>
      <c r="K23" s="54">
        <v>1.23</v>
      </c>
      <c r="L23" s="54">
        <v>-3000</v>
      </c>
      <c r="M23" s="54">
        <v>1</v>
      </c>
      <c r="N23" s="54">
        <v>0</v>
      </c>
      <c r="O23" s="55">
        <v>0.18</v>
      </c>
      <c r="P23" s="54">
        <v>679</v>
      </c>
      <c r="Q23" s="56">
        <f t="shared" si="4"/>
        <v>37679.004423999992</v>
      </c>
      <c r="R23" s="56">
        <f t="shared" si="8"/>
        <v>5504.1328895206598</v>
      </c>
      <c r="S23" s="57">
        <f t="shared" si="5"/>
        <v>28900.052889520659</v>
      </c>
      <c r="T23" s="59">
        <f t="shared" si="9"/>
        <v>7.1921763037716385E-2</v>
      </c>
      <c r="U23" s="93">
        <f t="shared" si="10"/>
        <v>32000.003870999994</v>
      </c>
      <c r="V23" s="93">
        <f t="shared" si="6"/>
        <v>42000.004976999997</v>
      </c>
    </row>
    <row r="26" spans="2:22" ht="15.75" thickBot="1" x14ac:dyDescent="0.3"/>
    <row r="27" spans="2:22" ht="18.75" x14ac:dyDescent="0.3">
      <c r="B27" s="103" t="s">
        <v>77</v>
      </c>
      <c r="C27" s="106" t="s">
        <v>16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8" spans="2:22" x14ac:dyDescent="0.25">
      <c r="B28" s="104"/>
      <c r="C28" s="1" t="s">
        <v>19</v>
      </c>
      <c r="D28" s="32" t="s">
        <v>2</v>
      </c>
      <c r="E28" s="2" t="s">
        <v>3</v>
      </c>
      <c r="F28" s="2" t="s">
        <v>4</v>
      </c>
      <c r="G28" s="2" t="s">
        <v>5</v>
      </c>
      <c r="H28" s="2" t="s">
        <v>6</v>
      </c>
      <c r="I28" s="2" t="s">
        <v>7</v>
      </c>
      <c r="J28" s="2" t="s">
        <v>8</v>
      </c>
      <c r="K28" s="2" t="s">
        <v>9</v>
      </c>
      <c r="L28" s="2" t="s">
        <v>10</v>
      </c>
      <c r="M28" s="2" t="s">
        <v>11</v>
      </c>
      <c r="N28" s="2" t="s">
        <v>12</v>
      </c>
      <c r="O28" s="2" t="s">
        <v>13</v>
      </c>
      <c r="P28" s="2" t="s">
        <v>14</v>
      </c>
      <c r="Q28" s="3" t="s">
        <v>15</v>
      </c>
    </row>
    <row r="29" spans="2:22" ht="15.75" x14ac:dyDescent="0.25">
      <c r="B29" s="104"/>
      <c r="C29" s="34">
        <v>10</v>
      </c>
      <c r="D29" s="32">
        <v>22.31</v>
      </c>
      <c r="E29" s="2">
        <v>1.46</v>
      </c>
      <c r="F29" s="2">
        <v>5.22</v>
      </c>
      <c r="G29" s="2">
        <v>1</v>
      </c>
      <c r="H29" s="2">
        <v>25</v>
      </c>
      <c r="I29" s="2">
        <v>1</v>
      </c>
      <c r="J29" s="2">
        <v>0</v>
      </c>
      <c r="K29" s="6">
        <v>0.18</v>
      </c>
      <c r="L29" s="2">
        <v>49</v>
      </c>
      <c r="M29" s="7">
        <f>(C29+H29)*E29*F29*G29*I29+J29</f>
        <v>266.74200000000002</v>
      </c>
      <c r="N29" s="7">
        <f>((M29/1.21))*0.18</f>
        <v>39.68062809917356</v>
      </c>
      <c r="O29" s="9">
        <v>0.05</v>
      </c>
      <c r="P29" s="7">
        <f>(((1-O29)*C29)/1.23)*F29+(D29*F29)+N29</f>
        <v>196.45590126990524</v>
      </c>
      <c r="Q29" s="36">
        <f>(M29/1.21-P29)/(M29/1.21)</f>
        <v>0.10883310263631035</v>
      </c>
    </row>
    <row r="30" spans="2:22" ht="15.75" x14ac:dyDescent="0.25">
      <c r="B30" s="104"/>
      <c r="C30" s="34">
        <v>50</v>
      </c>
      <c r="D30" s="32">
        <v>22.31</v>
      </c>
      <c r="E30" s="2">
        <v>1.41</v>
      </c>
      <c r="F30" s="2">
        <v>5.22</v>
      </c>
      <c r="G30" s="2">
        <v>1</v>
      </c>
      <c r="H30" s="2">
        <v>23</v>
      </c>
      <c r="I30" s="2">
        <v>1</v>
      </c>
      <c r="J30" s="2">
        <v>0</v>
      </c>
      <c r="K30" s="6">
        <v>0.18</v>
      </c>
      <c r="L30" s="2">
        <v>49</v>
      </c>
      <c r="M30" s="7">
        <f t="shared" ref="M30:M33" si="14">(C30+H30)*E30*F30*G30*I30+J30</f>
        <v>537.29459999999995</v>
      </c>
      <c r="N30" s="7">
        <f t="shared" ref="N30:N33" si="15">((M30/1.21))*0.18</f>
        <v>79.928122314049574</v>
      </c>
      <c r="O30" s="9">
        <v>0.05</v>
      </c>
      <c r="P30" s="7">
        <f>(((1-O30)*C30)/1.23)*F30+(D30*F30)+N30</f>
        <v>397.97168816770807</v>
      </c>
      <c r="Q30" s="36">
        <f t="shared" ref="Q30:Q33" si="16">(M30/1.21-P30)/(M30/1.21)</f>
        <v>0.10375845451838381</v>
      </c>
    </row>
    <row r="31" spans="2:22" ht="15.75" x14ac:dyDescent="0.25">
      <c r="B31" s="104"/>
      <c r="C31" s="34">
        <v>115</v>
      </c>
      <c r="D31" s="32">
        <v>22.31</v>
      </c>
      <c r="E31" s="2">
        <v>1.38</v>
      </c>
      <c r="F31" s="2">
        <v>5.22</v>
      </c>
      <c r="G31" s="2">
        <v>1</v>
      </c>
      <c r="H31" s="2">
        <v>20</v>
      </c>
      <c r="I31" s="2">
        <v>1</v>
      </c>
      <c r="J31" s="2">
        <v>0</v>
      </c>
      <c r="K31" s="6">
        <v>0.18</v>
      </c>
      <c r="L31" s="2">
        <v>49</v>
      </c>
      <c r="M31" s="7">
        <f t="shared" si="14"/>
        <v>972.48599999999988</v>
      </c>
      <c r="N31" s="7">
        <f t="shared" si="15"/>
        <v>144.6673388429752</v>
      </c>
      <c r="O31" s="9">
        <v>0.05</v>
      </c>
      <c r="P31" s="7">
        <f>(((1-O31)*C31)/1.23)*F31+(D31*F31)+N31</f>
        <v>724.7718803063899</v>
      </c>
      <c r="Q31" s="36">
        <f t="shared" si="16"/>
        <v>9.821429288366941E-2</v>
      </c>
    </row>
    <row r="32" spans="2:22" ht="15.75" x14ac:dyDescent="0.25">
      <c r="B32" s="104"/>
      <c r="C32" s="34">
        <v>225</v>
      </c>
      <c r="D32" s="32">
        <v>22.31</v>
      </c>
      <c r="E32" s="2">
        <v>1.33</v>
      </c>
      <c r="F32" s="2">
        <v>5.22</v>
      </c>
      <c r="G32" s="2">
        <v>1</v>
      </c>
      <c r="H32" s="2">
        <v>20</v>
      </c>
      <c r="I32" s="2">
        <v>1</v>
      </c>
      <c r="J32" s="2">
        <v>0</v>
      </c>
      <c r="K32" s="6">
        <v>0.18</v>
      </c>
      <c r="L32" s="2">
        <v>49</v>
      </c>
      <c r="M32" s="7">
        <f t="shared" si="14"/>
        <v>1700.9370000000001</v>
      </c>
      <c r="N32" s="7">
        <f t="shared" si="15"/>
        <v>253.03195041322317</v>
      </c>
      <c r="O32" s="9">
        <v>0.05</v>
      </c>
      <c r="P32" s="7">
        <f t="shared" ref="P32:P33" si="17">(((1-O32)*C32)/1.23)*F32+(D32*F32)+N32</f>
        <v>1276.6242967546866</v>
      </c>
      <c r="Q32" s="36">
        <f>(M32/1.21-P32)/(M32/1.21)</f>
        <v>9.184443687616263E-2</v>
      </c>
    </row>
    <row r="33" spans="2:17" ht="15.75" x14ac:dyDescent="0.25">
      <c r="B33" s="104"/>
      <c r="C33" s="34">
        <v>450</v>
      </c>
      <c r="D33" s="32">
        <v>22.31</v>
      </c>
      <c r="E33" s="2">
        <v>1.3</v>
      </c>
      <c r="F33" s="2">
        <v>5.22</v>
      </c>
      <c r="G33" s="2">
        <v>1</v>
      </c>
      <c r="H33" s="2">
        <v>20</v>
      </c>
      <c r="I33" s="2">
        <v>1</v>
      </c>
      <c r="J33" s="2">
        <v>0</v>
      </c>
      <c r="K33" s="6">
        <v>0.18</v>
      </c>
      <c r="L33" s="2">
        <v>49</v>
      </c>
      <c r="M33" s="7">
        <f t="shared" si="14"/>
        <v>3189.42</v>
      </c>
      <c r="N33" s="7">
        <f t="shared" si="15"/>
        <v>474.45917355371898</v>
      </c>
      <c r="O33" s="9">
        <v>0.05</v>
      </c>
      <c r="P33" s="7">
        <f t="shared" si="17"/>
        <v>2405.1856662366458</v>
      </c>
      <c r="Q33" s="36">
        <f t="shared" si="16"/>
        <v>8.7522290527324284E-2</v>
      </c>
    </row>
    <row r="34" spans="2:17" x14ac:dyDescent="0.25">
      <c r="B34" s="104"/>
      <c r="D34" s="33"/>
      <c r="Q34" s="18"/>
    </row>
    <row r="35" spans="2:17" ht="18.75" x14ac:dyDescent="0.3">
      <c r="B35" s="104"/>
      <c r="C35" s="107" t="s">
        <v>17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2:17" x14ac:dyDescent="0.25">
      <c r="B36" s="104"/>
      <c r="C36" s="1" t="s">
        <v>19</v>
      </c>
      <c r="D36" s="32" t="s">
        <v>2</v>
      </c>
      <c r="E36" s="2" t="s">
        <v>3</v>
      </c>
      <c r="F36" s="2" t="s">
        <v>4</v>
      </c>
      <c r="G36" s="2" t="s">
        <v>5</v>
      </c>
      <c r="H36" s="2" t="s">
        <v>6</v>
      </c>
      <c r="I36" s="2" t="s">
        <v>7</v>
      </c>
      <c r="J36" s="2" t="s">
        <v>8</v>
      </c>
      <c r="K36" s="2" t="s">
        <v>9</v>
      </c>
      <c r="L36" s="2" t="s">
        <v>10</v>
      </c>
      <c r="M36" s="2" t="s">
        <v>11</v>
      </c>
      <c r="N36" s="2" t="s">
        <v>12</v>
      </c>
      <c r="O36" s="2" t="s">
        <v>13</v>
      </c>
      <c r="P36" s="2" t="s">
        <v>14</v>
      </c>
      <c r="Q36" s="3" t="s">
        <v>15</v>
      </c>
    </row>
    <row r="37" spans="2:17" ht="15.75" x14ac:dyDescent="0.25">
      <c r="B37" s="104"/>
      <c r="C37" s="34">
        <v>10</v>
      </c>
      <c r="D37" s="32">
        <v>22.31</v>
      </c>
      <c r="E37" s="2">
        <v>1.46</v>
      </c>
      <c r="F37" s="2">
        <v>5.22</v>
      </c>
      <c r="G37" s="2">
        <v>1</v>
      </c>
      <c r="H37" s="2">
        <v>25</v>
      </c>
      <c r="I37" s="2">
        <v>1</v>
      </c>
      <c r="J37" s="2">
        <v>0</v>
      </c>
      <c r="K37" s="6">
        <v>0.18</v>
      </c>
      <c r="L37" s="2">
        <v>49</v>
      </c>
      <c r="M37" s="7">
        <f>(C37+H37)*E37*F37*G37*I37+J37</f>
        <v>266.74200000000002</v>
      </c>
      <c r="N37" s="8">
        <f>(M37/1.21)*0.18</f>
        <v>39.68062809917356</v>
      </c>
      <c r="O37" s="9">
        <v>0.05</v>
      </c>
      <c r="P37" s="8">
        <f>(((1-O37)*C37)/1.23)*F37+(D37*F37)+N37</f>
        <v>196.45590126990524</v>
      </c>
      <c r="Q37" s="36">
        <f>(M37/1.21-P37)/(M37/1.21)</f>
        <v>0.10883310263631035</v>
      </c>
    </row>
    <row r="38" spans="2:17" ht="15.75" x14ac:dyDescent="0.25">
      <c r="B38" s="104"/>
      <c r="C38" s="34">
        <v>50</v>
      </c>
      <c r="D38" s="32">
        <v>22.31</v>
      </c>
      <c r="E38" s="2">
        <v>1.46</v>
      </c>
      <c r="F38" s="2">
        <v>5.22</v>
      </c>
      <c r="G38" s="2">
        <v>1</v>
      </c>
      <c r="H38" s="2">
        <v>20</v>
      </c>
      <c r="I38" s="2">
        <v>1</v>
      </c>
      <c r="J38" s="2">
        <v>0</v>
      </c>
      <c r="K38" s="6">
        <v>0.18</v>
      </c>
      <c r="L38" s="2">
        <v>49</v>
      </c>
      <c r="M38" s="7">
        <f t="shared" ref="M38:M41" si="18">(C38+H38)*E38*F38*G38*I38+J38</f>
        <v>533.48400000000004</v>
      </c>
      <c r="N38" s="8">
        <f t="shared" ref="N38:N41" si="19">(M38/1.21)*0.18</f>
        <v>79.361256198347121</v>
      </c>
      <c r="O38" s="9">
        <v>0.05</v>
      </c>
      <c r="P38" s="8">
        <f t="shared" ref="P38:P41" si="20">(((1-O38)*C38)/1.23)*F38+(D38*F38)+N38</f>
        <v>397.40482205200561</v>
      </c>
      <c r="Q38" s="36">
        <f>(M38/1.21-P38)/(M38/1.21)</f>
        <v>9.8642443479229527E-2</v>
      </c>
    </row>
    <row r="39" spans="2:17" ht="15.75" x14ac:dyDescent="0.25">
      <c r="B39" s="104"/>
      <c r="C39" s="34">
        <v>115</v>
      </c>
      <c r="D39" s="32">
        <v>22.31</v>
      </c>
      <c r="E39" s="2">
        <v>1.4</v>
      </c>
      <c r="F39" s="2">
        <v>5.22</v>
      </c>
      <c r="G39" s="2">
        <v>1</v>
      </c>
      <c r="H39" s="2">
        <v>18</v>
      </c>
      <c r="I39" s="2">
        <v>1</v>
      </c>
      <c r="J39" s="2">
        <v>0</v>
      </c>
      <c r="K39" s="6">
        <v>0.18</v>
      </c>
      <c r="L39" s="2">
        <v>49</v>
      </c>
      <c r="M39" s="7">
        <f t="shared" si="18"/>
        <v>971.96399999999994</v>
      </c>
      <c r="N39" s="8">
        <f t="shared" si="19"/>
        <v>144.58968595041321</v>
      </c>
      <c r="O39" s="9">
        <v>0.05</v>
      </c>
      <c r="P39" s="8">
        <f t="shared" si="20"/>
        <v>724.69422741382789</v>
      </c>
      <c r="Q39" s="36">
        <f>(M39/1.21-P39)/(M39/1.21)</f>
        <v>9.7826652869106523E-2</v>
      </c>
    </row>
    <row r="40" spans="2:17" ht="15.75" x14ac:dyDescent="0.25">
      <c r="B40" s="104"/>
      <c r="C40" s="34">
        <v>225</v>
      </c>
      <c r="D40" s="32">
        <v>22.31</v>
      </c>
      <c r="E40" s="2">
        <v>1.34</v>
      </c>
      <c r="F40" s="2">
        <v>5.22</v>
      </c>
      <c r="G40" s="2">
        <v>1</v>
      </c>
      <c r="H40" s="2">
        <v>18</v>
      </c>
      <c r="I40" s="2">
        <v>1</v>
      </c>
      <c r="J40" s="2">
        <v>0</v>
      </c>
      <c r="K40" s="6">
        <v>0.18</v>
      </c>
      <c r="L40" s="2">
        <v>49</v>
      </c>
      <c r="M40" s="7">
        <f t="shared" si="18"/>
        <v>1699.7364</v>
      </c>
      <c r="N40" s="8">
        <f t="shared" si="19"/>
        <v>252.85334876033059</v>
      </c>
      <c r="O40" s="9">
        <v>0.05</v>
      </c>
      <c r="P40" s="8">
        <f t="shared" si="20"/>
        <v>1276.4456951017939</v>
      </c>
      <c r="Q40" s="36">
        <f>(M40/1.21-P40)/(M40/1.21)</f>
        <v>9.1330107966640831E-2</v>
      </c>
    </row>
    <row r="41" spans="2:17" ht="16.5" thickBot="1" x14ac:dyDescent="0.3">
      <c r="B41" s="105"/>
      <c r="C41" s="34">
        <v>450</v>
      </c>
      <c r="D41" s="32">
        <v>22.31</v>
      </c>
      <c r="E41" s="2">
        <v>1.31</v>
      </c>
      <c r="F41" s="2">
        <v>5.22</v>
      </c>
      <c r="G41" s="2">
        <v>1</v>
      </c>
      <c r="H41" s="2">
        <v>18</v>
      </c>
      <c r="I41" s="2">
        <v>1</v>
      </c>
      <c r="J41" s="2">
        <v>0</v>
      </c>
      <c r="K41" s="6">
        <v>0.18</v>
      </c>
      <c r="L41" s="2">
        <v>49</v>
      </c>
      <c r="M41" s="7">
        <f t="shared" si="18"/>
        <v>3200.2775999999999</v>
      </c>
      <c r="N41" s="8">
        <f t="shared" si="19"/>
        <v>476.07435371900829</v>
      </c>
      <c r="O41" s="9">
        <v>0.05</v>
      </c>
      <c r="P41" s="8">
        <f t="shared" si="20"/>
        <v>2406.8008464019349</v>
      </c>
      <c r="Q41" s="36">
        <f>(M41/1.21-P41)/(M41/1.21)</f>
        <v>9.0007371814763495E-2</v>
      </c>
    </row>
    <row r="44" spans="2:17" ht="15.75" thickBot="1" x14ac:dyDescent="0.3"/>
    <row r="45" spans="2:17" ht="18.75" x14ac:dyDescent="0.3">
      <c r="B45" s="100" t="s">
        <v>126</v>
      </c>
      <c r="C45" s="97" t="s">
        <v>127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</row>
    <row r="46" spans="2:17" x14ac:dyDescent="0.25">
      <c r="B46" s="101"/>
      <c r="C46" s="77" t="s">
        <v>1</v>
      </c>
      <c r="D46" s="32" t="s">
        <v>2</v>
      </c>
      <c r="E46" s="2" t="s">
        <v>3</v>
      </c>
      <c r="F46" s="2" t="s">
        <v>4</v>
      </c>
      <c r="G46" s="2" t="s">
        <v>5</v>
      </c>
      <c r="H46" s="2" t="s">
        <v>6</v>
      </c>
      <c r="I46" s="2" t="s">
        <v>7</v>
      </c>
      <c r="J46" s="2" t="s">
        <v>8</v>
      </c>
      <c r="K46" s="2" t="s">
        <v>9</v>
      </c>
      <c r="L46" s="2" t="s">
        <v>10</v>
      </c>
      <c r="M46" s="2" t="s">
        <v>11</v>
      </c>
      <c r="N46" s="2" t="s">
        <v>12</v>
      </c>
      <c r="O46" s="2" t="s">
        <v>13</v>
      </c>
      <c r="P46" s="2" t="s">
        <v>14</v>
      </c>
      <c r="Q46" s="3" t="s">
        <v>15</v>
      </c>
    </row>
    <row r="47" spans="2:17" ht="15.75" x14ac:dyDescent="0.25">
      <c r="B47" s="101"/>
      <c r="C47" s="78">
        <v>31</v>
      </c>
      <c r="D47" s="32">
        <v>22.31</v>
      </c>
      <c r="E47" s="2">
        <v>1.3</v>
      </c>
      <c r="F47" s="2">
        <v>5.35</v>
      </c>
      <c r="G47" s="2">
        <v>1.23</v>
      </c>
      <c r="H47" s="2">
        <v>21</v>
      </c>
      <c r="I47" s="2">
        <v>1</v>
      </c>
      <c r="J47" s="2">
        <v>0</v>
      </c>
      <c r="K47" s="6">
        <v>0.18</v>
      </c>
      <c r="L47" s="2">
        <v>49</v>
      </c>
      <c r="M47" s="7">
        <f>(C47+H47)*E47*F47*G47*I47+J47</f>
        <v>444.84180000000003</v>
      </c>
      <c r="N47" s="7">
        <f>((M47/1.21))*0.18</f>
        <v>66.174813223140504</v>
      </c>
      <c r="O47" s="9">
        <v>0</v>
      </c>
      <c r="P47" s="7">
        <f>(((1-O47)*C47))*F47+(D47*F47)+N47</f>
        <v>351.38331322314048</v>
      </c>
      <c r="Q47" s="36">
        <f>(M47/1.21-P47)/(M47/1.21)</f>
        <v>4.4213450714389028E-2</v>
      </c>
    </row>
    <row r="48" spans="2:17" ht="15.75" x14ac:dyDescent="0.25">
      <c r="B48" s="101"/>
      <c r="C48" s="78">
        <v>50</v>
      </c>
      <c r="D48" s="32">
        <v>22.31</v>
      </c>
      <c r="E48" s="2">
        <v>1.3</v>
      </c>
      <c r="F48" s="2">
        <v>5.35</v>
      </c>
      <c r="G48" s="2">
        <v>1.23</v>
      </c>
      <c r="H48" s="2">
        <v>21</v>
      </c>
      <c r="I48" s="2">
        <v>1</v>
      </c>
      <c r="J48" s="2">
        <v>0</v>
      </c>
      <c r="K48" s="6">
        <v>0.18</v>
      </c>
      <c r="L48" s="2">
        <v>49</v>
      </c>
      <c r="M48" s="7">
        <f t="shared" ref="M48:M51" si="21">(C48+H48)*E48*F48*G48*I48+J48</f>
        <v>607.38014999999996</v>
      </c>
      <c r="N48" s="7">
        <f t="shared" ref="N48:N51" si="22">((M48/1.21))*0.18</f>
        <v>90.35407190082644</v>
      </c>
      <c r="O48" s="9">
        <v>0</v>
      </c>
      <c r="P48" s="7">
        <f t="shared" ref="P48:P51" si="23">(((1-O48)*C48))*F48+(D48*F48)+N48</f>
        <v>477.21257190082645</v>
      </c>
      <c r="Q48" s="36">
        <f t="shared" ref="Q48:Q49" si="24">(M48/1.21-P48)/(M48/1.21)</f>
        <v>4.9314976790071179E-2</v>
      </c>
    </row>
    <row r="49" spans="2:17" ht="15.75" x14ac:dyDescent="0.25">
      <c r="B49" s="101"/>
      <c r="C49" s="78">
        <v>80</v>
      </c>
      <c r="D49" s="32">
        <v>22.31</v>
      </c>
      <c r="E49" s="2">
        <v>1.3</v>
      </c>
      <c r="F49" s="2">
        <v>5.35</v>
      </c>
      <c r="G49" s="2">
        <v>1.23</v>
      </c>
      <c r="H49" s="2">
        <v>21</v>
      </c>
      <c r="I49" s="2">
        <v>1</v>
      </c>
      <c r="J49" s="2">
        <v>0</v>
      </c>
      <c r="K49" s="6">
        <v>0.18</v>
      </c>
      <c r="L49" s="2">
        <v>49</v>
      </c>
      <c r="M49" s="7">
        <f t="shared" si="21"/>
        <v>864.01965000000007</v>
      </c>
      <c r="N49" s="7">
        <f t="shared" si="22"/>
        <v>128.5318487603306</v>
      </c>
      <c r="O49" s="9">
        <v>0</v>
      </c>
      <c r="P49" s="7">
        <f t="shared" si="23"/>
        <v>675.89034876033065</v>
      </c>
      <c r="Q49" s="36">
        <f t="shared" si="24"/>
        <v>5.3462126700474975E-2</v>
      </c>
    </row>
    <row r="50" spans="2:17" ht="15.75" x14ac:dyDescent="0.25">
      <c r="B50" s="101"/>
      <c r="C50" s="78">
        <v>130</v>
      </c>
      <c r="D50" s="32">
        <v>22.31</v>
      </c>
      <c r="E50" s="2">
        <v>1.3</v>
      </c>
      <c r="F50" s="2">
        <v>5.35</v>
      </c>
      <c r="G50" s="2">
        <v>1.23</v>
      </c>
      <c r="H50" s="2">
        <v>21</v>
      </c>
      <c r="I50" s="2">
        <v>1</v>
      </c>
      <c r="J50" s="2">
        <v>0</v>
      </c>
      <c r="K50" s="6">
        <v>0.18</v>
      </c>
      <c r="L50" s="2">
        <v>49</v>
      </c>
      <c r="M50" s="7">
        <f t="shared" si="21"/>
        <v>1291.7521499999998</v>
      </c>
      <c r="N50" s="7">
        <f t="shared" si="22"/>
        <v>192.16147685950409</v>
      </c>
      <c r="O50" s="9">
        <v>0</v>
      </c>
      <c r="P50" s="7">
        <f t="shared" si="23"/>
        <v>1007.0199768595041</v>
      </c>
      <c r="Q50" s="36">
        <f>(M50/1.21-P50)/(M50/1.21)</f>
        <v>5.6712100692071478E-2</v>
      </c>
    </row>
    <row r="51" spans="2:17" ht="16.5" thickBot="1" x14ac:dyDescent="0.3">
      <c r="B51" s="102"/>
      <c r="C51" s="79">
        <v>230</v>
      </c>
      <c r="D51" s="76">
        <v>22.31</v>
      </c>
      <c r="E51" s="54">
        <v>1.3</v>
      </c>
      <c r="F51" s="54">
        <v>5.35</v>
      </c>
      <c r="G51" s="54">
        <v>1.23</v>
      </c>
      <c r="H51" s="54">
        <v>21</v>
      </c>
      <c r="I51" s="54">
        <v>1</v>
      </c>
      <c r="J51" s="54">
        <v>0</v>
      </c>
      <c r="K51" s="55">
        <v>0.18</v>
      </c>
      <c r="L51" s="54">
        <v>49</v>
      </c>
      <c r="M51" s="56">
        <f t="shared" si="21"/>
        <v>2147.2171499999999</v>
      </c>
      <c r="N51" s="56">
        <f t="shared" si="22"/>
        <v>319.42073305785124</v>
      </c>
      <c r="O51" s="58">
        <v>0</v>
      </c>
      <c r="P51" s="56">
        <f t="shared" si="23"/>
        <v>1669.2792330578513</v>
      </c>
      <c r="Q51" s="59">
        <f t="shared" ref="Q51" si="25">(M51/1.21-P51)/(M51/1.21)</f>
        <v>5.9327617609611527E-2</v>
      </c>
    </row>
    <row r="54" spans="2:17" ht="15.75" thickBot="1" x14ac:dyDescent="0.3"/>
    <row r="55" spans="2:17" ht="18.75" customHeight="1" x14ac:dyDescent="0.3">
      <c r="B55" s="103" t="s">
        <v>128</v>
      </c>
      <c r="C55" s="106" t="s">
        <v>16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9"/>
    </row>
    <row r="56" spans="2:17" x14ac:dyDescent="0.25">
      <c r="B56" s="104"/>
      <c r="C56" s="1" t="s">
        <v>1</v>
      </c>
      <c r="D56" s="32" t="s">
        <v>2</v>
      </c>
      <c r="E56" s="2" t="s">
        <v>3</v>
      </c>
      <c r="F56" s="2" t="s">
        <v>4</v>
      </c>
      <c r="G56" s="2" t="s">
        <v>5</v>
      </c>
      <c r="H56" s="2" t="s">
        <v>6</v>
      </c>
      <c r="I56" s="2" t="s">
        <v>7</v>
      </c>
      <c r="J56" s="2" t="s">
        <v>8</v>
      </c>
      <c r="K56" s="2" t="s">
        <v>9</v>
      </c>
      <c r="L56" s="2" t="s">
        <v>10</v>
      </c>
      <c r="M56" s="2" t="s">
        <v>11</v>
      </c>
      <c r="N56" s="2" t="s">
        <v>12</v>
      </c>
      <c r="O56" s="2" t="s">
        <v>13</v>
      </c>
      <c r="P56" s="2" t="s">
        <v>14</v>
      </c>
      <c r="Q56" s="3" t="s">
        <v>15</v>
      </c>
    </row>
    <row r="57" spans="2:17" ht="15.75" x14ac:dyDescent="0.25">
      <c r="B57" s="104"/>
      <c r="C57" s="34">
        <v>50</v>
      </c>
      <c r="D57" s="32">
        <v>22.31</v>
      </c>
      <c r="E57" s="2">
        <v>1.39</v>
      </c>
      <c r="F57" s="2">
        <v>5.35</v>
      </c>
      <c r="G57" s="2">
        <v>1.23</v>
      </c>
      <c r="H57" s="2">
        <v>23</v>
      </c>
      <c r="I57" s="2">
        <v>1</v>
      </c>
      <c r="J57" s="2">
        <v>0</v>
      </c>
      <c r="K57" s="6">
        <v>0.18</v>
      </c>
      <c r="L57" s="2">
        <v>49</v>
      </c>
      <c r="M57" s="7">
        <f>(C57+H57)*E57*F57*G57*I57+J57</f>
        <v>667.72333499999991</v>
      </c>
      <c r="N57" s="7">
        <f>((M57/1.21))*0.18</f>
        <v>99.330744049586755</v>
      </c>
      <c r="O57" s="9">
        <v>0</v>
      </c>
      <c r="P57" s="7">
        <f>(((1-O57)*C57))*F57+(D57*F57)+N57</f>
        <v>486.18924404958676</v>
      </c>
      <c r="Q57" s="36">
        <f>(M57/1.21-P57)/(M57/1.21)</f>
        <v>0.1189629679483943</v>
      </c>
    </row>
    <row r="58" spans="2:17" ht="15.75" x14ac:dyDescent="0.25">
      <c r="B58" s="104"/>
      <c r="C58" s="34">
        <v>90</v>
      </c>
      <c r="D58" s="32">
        <v>22.31</v>
      </c>
      <c r="E58" s="2">
        <v>1.38</v>
      </c>
      <c r="F58" s="2">
        <v>5.35</v>
      </c>
      <c r="G58" s="2">
        <v>1.23</v>
      </c>
      <c r="H58" s="2">
        <v>22</v>
      </c>
      <c r="I58" s="2">
        <v>1</v>
      </c>
      <c r="J58" s="2">
        <v>0</v>
      </c>
      <c r="K58" s="6">
        <v>0.18</v>
      </c>
      <c r="L58" s="2">
        <v>49</v>
      </c>
      <c r="M58" s="7">
        <f t="shared" ref="M58:M61" si="26">(C58+H58)*E58*F58*G58*I58+J58</f>
        <v>1017.0820799999999</v>
      </c>
      <c r="N58" s="7">
        <f t="shared" ref="N58:N61" si="27">((M58/1.21))*0.18</f>
        <v>151.30146644628098</v>
      </c>
      <c r="O58" s="9">
        <v>0</v>
      </c>
      <c r="P58" s="7">
        <f t="shared" ref="P58:P61" si="28">(((1-O58)*C58))*F58+(D58*F58)+N58</f>
        <v>752.15996644628092</v>
      </c>
      <c r="Q58" s="36">
        <f t="shared" ref="Q58:Q61" si="29">(M58/1.21-P58)/(M58/1.21)</f>
        <v>0.10517196468548536</v>
      </c>
    </row>
    <row r="59" spans="2:17" ht="15.75" x14ac:dyDescent="0.25">
      <c r="B59" s="104"/>
      <c r="C59" s="34">
        <v>150</v>
      </c>
      <c r="D59" s="32">
        <v>22.31</v>
      </c>
      <c r="E59" s="2">
        <v>1.38</v>
      </c>
      <c r="F59" s="2">
        <v>5.35</v>
      </c>
      <c r="G59" s="2">
        <v>1.23</v>
      </c>
      <c r="H59" s="2">
        <v>21</v>
      </c>
      <c r="I59" s="2">
        <v>1</v>
      </c>
      <c r="J59" s="2">
        <v>0</v>
      </c>
      <c r="K59" s="6">
        <v>0.18</v>
      </c>
      <c r="L59" s="2">
        <v>49</v>
      </c>
      <c r="M59" s="7">
        <f t="shared" si="26"/>
        <v>1552.8663899999999</v>
      </c>
      <c r="N59" s="7">
        <f t="shared" si="27"/>
        <v>231.00491752066117</v>
      </c>
      <c r="O59" s="9">
        <v>0</v>
      </c>
      <c r="P59" s="7">
        <f t="shared" si="28"/>
        <v>1152.8634175206612</v>
      </c>
      <c r="Q59" s="36">
        <f t="shared" si="29"/>
        <v>0.10168399278704204</v>
      </c>
    </row>
    <row r="60" spans="2:17" ht="15.75" x14ac:dyDescent="0.25">
      <c r="B60" s="104"/>
      <c r="C60" s="34">
        <v>250</v>
      </c>
      <c r="D60" s="32">
        <v>22.31</v>
      </c>
      <c r="E60" s="2">
        <v>1.37</v>
      </c>
      <c r="F60" s="2">
        <v>5.35</v>
      </c>
      <c r="G60" s="2">
        <v>1.23</v>
      </c>
      <c r="H60" s="2">
        <v>20</v>
      </c>
      <c r="I60" s="2">
        <v>1</v>
      </c>
      <c r="J60" s="2">
        <v>0</v>
      </c>
      <c r="K60" s="6">
        <v>0.18</v>
      </c>
      <c r="L60" s="2">
        <v>49</v>
      </c>
      <c r="M60" s="7">
        <f t="shared" si="26"/>
        <v>2434.1269500000003</v>
      </c>
      <c r="N60" s="7">
        <f t="shared" si="27"/>
        <v>362.10152975206614</v>
      </c>
      <c r="O60" s="9">
        <v>0</v>
      </c>
      <c r="P60" s="7">
        <f t="shared" si="28"/>
        <v>1818.9600297520662</v>
      </c>
      <c r="Q60" s="36">
        <f>(M60/1.21-P60)/(M60/1.21)</f>
        <v>9.5798337058796437E-2</v>
      </c>
    </row>
    <row r="61" spans="2:17" ht="15.75" x14ac:dyDescent="0.25">
      <c r="B61" s="104"/>
      <c r="C61" s="34">
        <v>450</v>
      </c>
      <c r="D61" s="32">
        <v>22.31</v>
      </c>
      <c r="E61" s="2">
        <v>1.36</v>
      </c>
      <c r="F61" s="2">
        <v>5.35</v>
      </c>
      <c r="G61" s="2">
        <v>1.23</v>
      </c>
      <c r="H61" s="2">
        <v>20</v>
      </c>
      <c r="I61" s="2">
        <v>1</v>
      </c>
      <c r="J61" s="2">
        <v>0</v>
      </c>
      <c r="K61" s="6">
        <v>0.18</v>
      </c>
      <c r="L61" s="2">
        <v>49</v>
      </c>
      <c r="M61" s="7">
        <f t="shared" si="26"/>
        <v>4206.2555999999995</v>
      </c>
      <c r="N61" s="7">
        <f t="shared" si="27"/>
        <v>625.72397355371891</v>
      </c>
      <c r="O61" s="9">
        <v>0</v>
      </c>
      <c r="P61" s="7">
        <f t="shared" si="28"/>
        <v>3152.582473553719</v>
      </c>
      <c r="Q61" s="36">
        <f t="shared" ref="Q61:Q64" si="30">(M61/1.21-P61)/(M61/1.21)</f>
        <v>9.3106754377931714E-2</v>
      </c>
    </row>
    <row r="62" spans="2:17" x14ac:dyDescent="0.25">
      <c r="B62" s="104"/>
      <c r="D62" s="33"/>
      <c r="Q62" s="18"/>
    </row>
    <row r="63" spans="2:17" ht="18.75" x14ac:dyDescent="0.3">
      <c r="B63" s="104"/>
      <c r="C63" s="107" t="s">
        <v>17</v>
      </c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9"/>
    </row>
    <row r="64" spans="2:17" x14ac:dyDescent="0.25">
      <c r="B64" s="104"/>
      <c r="C64" s="1" t="s">
        <v>1</v>
      </c>
      <c r="D64" s="32" t="s">
        <v>2</v>
      </c>
      <c r="E64" s="2" t="s">
        <v>3</v>
      </c>
      <c r="F64" s="2" t="s">
        <v>4</v>
      </c>
      <c r="G64" s="2" t="s">
        <v>5</v>
      </c>
      <c r="H64" s="2" t="s">
        <v>6</v>
      </c>
      <c r="I64" s="2" t="s">
        <v>7</v>
      </c>
      <c r="J64" s="2" t="s">
        <v>8</v>
      </c>
      <c r="K64" s="2" t="s">
        <v>9</v>
      </c>
      <c r="L64" s="2" t="s">
        <v>10</v>
      </c>
      <c r="M64" s="2" t="s">
        <v>11</v>
      </c>
      <c r="N64" s="2" t="s">
        <v>12</v>
      </c>
      <c r="O64" s="2" t="s">
        <v>13</v>
      </c>
      <c r="P64" s="2" t="s">
        <v>14</v>
      </c>
      <c r="Q64" s="3" t="s">
        <v>15</v>
      </c>
    </row>
    <row r="65" spans="2:17" ht="15.75" x14ac:dyDescent="0.25">
      <c r="B65" s="104"/>
      <c r="C65" s="34">
        <v>50</v>
      </c>
      <c r="D65" s="32">
        <v>22.31</v>
      </c>
      <c r="E65" s="2">
        <v>1.39</v>
      </c>
      <c r="F65" s="2">
        <v>5.35</v>
      </c>
      <c r="G65" s="2">
        <v>1.23</v>
      </c>
      <c r="H65" s="2">
        <v>23</v>
      </c>
      <c r="I65" s="2">
        <v>1</v>
      </c>
      <c r="J65" s="2">
        <v>0</v>
      </c>
      <c r="K65" s="6">
        <v>0.18</v>
      </c>
      <c r="L65" s="2">
        <v>49</v>
      </c>
      <c r="M65" s="7">
        <f>(C65+H65)*E65*F65*G65*I65+J65</f>
        <v>667.72333499999991</v>
      </c>
      <c r="N65" s="8">
        <f>(M65/1.21)*0.18</f>
        <v>99.330744049586755</v>
      </c>
      <c r="O65" s="9">
        <v>0</v>
      </c>
      <c r="P65" s="7">
        <f t="shared" ref="P65:P69" si="31">(((1-O65)*C65))*F65+(D65*F65)+N65</f>
        <v>486.18924404958676</v>
      </c>
      <c r="Q65" s="36">
        <f>(M65/1.21-P65)/(M65/1.21)</f>
        <v>0.1189629679483943</v>
      </c>
    </row>
    <row r="66" spans="2:17" ht="15.75" x14ac:dyDescent="0.25">
      <c r="B66" s="104"/>
      <c r="C66" s="34">
        <v>90</v>
      </c>
      <c r="D66" s="32">
        <v>22.31</v>
      </c>
      <c r="E66" s="2">
        <v>1.38</v>
      </c>
      <c r="F66" s="2">
        <v>5.35</v>
      </c>
      <c r="G66" s="2">
        <v>1.23</v>
      </c>
      <c r="H66" s="2">
        <v>22</v>
      </c>
      <c r="I66" s="2">
        <v>1</v>
      </c>
      <c r="J66" s="2">
        <v>0</v>
      </c>
      <c r="K66" s="6">
        <v>0.18</v>
      </c>
      <c r="L66" s="2">
        <v>49</v>
      </c>
      <c r="M66" s="7">
        <f t="shared" ref="M66:M69" si="32">(C66+H66)*E66*F66*G66*I66+J66</f>
        <v>1017.0820799999999</v>
      </c>
      <c r="N66" s="8">
        <f t="shared" ref="N66:N69" si="33">(M66/1.21)*0.18</f>
        <v>151.30146644628098</v>
      </c>
      <c r="O66" s="9">
        <v>0</v>
      </c>
      <c r="P66" s="7">
        <f t="shared" si="31"/>
        <v>752.15996644628092</v>
      </c>
      <c r="Q66" s="36">
        <f>(M66/1.21-P66)/(M66/1.21)</f>
        <v>0.10517196468548536</v>
      </c>
    </row>
    <row r="67" spans="2:17" ht="15.75" x14ac:dyDescent="0.25">
      <c r="B67" s="104"/>
      <c r="C67" s="34">
        <v>150</v>
      </c>
      <c r="D67" s="32">
        <v>22.31</v>
      </c>
      <c r="E67" s="2">
        <v>1.38</v>
      </c>
      <c r="F67" s="2">
        <v>5.35</v>
      </c>
      <c r="G67" s="2">
        <v>1.23</v>
      </c>
      <c r="H67" s="2">
        <v>21</v>
      </c>
      <c r="I67" s="2">
        <v>1</v>
      </c>
      <c r="J67" s="2">
        <v>0</v>
      </c>
      <c r="K67" s="6">
        <v>0.18</v>
      </c>
      <c r="L67" s="2">
        <v>49</v>
      </c>
      <c r="M67" s="7">
        <f t="shared" si="32"/>
        <v>1552.8663899999999</v>
      </c>
      <c r="N67" s="8">
        <f t="shared" si="33"/>
        <v>231.00491752066117</v>
      </c>
      <c r="O67" s="9">
        <v>0</v>
      </c>
      <c r="P67" s="7">
        <f t="shared" si="31"/>
        <v>1152.8634175206612</v>
      </c>
      <c r="Q67" s="36">
        <f>(M67/1.21-P67)/(M67/1.21)</f>
        <v>0.10168399278704204</v>
      </c>
    </row>
    <row r="68" spans="2:17" ht="15.75" x14ac:dyDescent="0.25">
      <c r="B68" s="104"/>
      <c r="C68" s="34">
        <v>250</v>
      </c>
      <c r="D68" s="32">
        <v>22.31</v>
      </c>
      <c r="E68" s="2">
        <v>1.37</v>
      </c>
      <c r="F68" s="2">
        <v>5.35</v>
      </c>
      <c r="G68" s="2">
        <v>1.23</v>
      </c>
      <c r="H68" s="2">
        <v>20</v>
      </c>
      <c r="I68" s="2">
        <v>1</v>
      </c>
      <c r="J68" s="2">
        <v>0</v>
      </c>
      <c r="K68" s="6">
        <v>0.18</v>
      </c>
      <c r="L68" s="2">
        <v>49</v>
      </c>
      <c r="M68" s="7">
        <f t="shared" si="32"/>
        <v>2434.1269500000003</v>
      </c>
      <c r="N68" s="8">
        <f t="shared" si="33"/>
        <v>362.10152975206614</v>
      </c>
      <c r="O68" s="9">
        <v>0</v>
      </c>
      <c r="P68" s="7">
        <f t="shared" si="31"/>
        <v>1818.9600297520662</v>
      </c>
      <c r="Q68" s="36">
        <f>(M68/1.21-P68)/(M68/1.21)</f>
        <v>9.5798337058796437E-2</v>
      </c>
    </row>
    <row r="69" spans="2:17" ht="16.5" thickBot="1" x14ac:dyDescent="0.3">
      <c r="B69" s="105"/>
      <c r="C69" s="34">
        <v>450</v>
      </c>
      <c r="D69" s="32">
        <v>22.31</v>
      </c>
      <c r="E69" s="2">
        <v>1.36</v>
      </c>
      <c r="F69" s="2">
        <v>5.35</v>
      </c>
      <c r="G69" s="2">
        <v>1.23</v>
      </c>
      <c r="H69" s="2">
        <v>20</v>
      </c>
      <c r="I69" s="2">
        <v>1</v>
      </c>
      <c r="J69" s="2">
        <v>0</v>
      </c>
      <c r="K69" s="6">
        <v>0.18</v>
      </c>
      <c r="L69" s="2">
        <v>49</v>
      </c>
      <c r="M69" s="7">
        <f t="shared" si="32"/>
        <v>4206.2555999999995</v>
      </c>
      <c r="N69" s="8">
        <f t="shared" si="33"/>
        <v>625.72397355371891</v>
      </c>
      <c r="O69" s="9">
        <v>0</v>
      </c>
      <c r="P69" s="7">
        <f t="shared" si="31"/>
        <v>3152.582473553719</v>
      </c>
      <c r="Q69" s="36">
        <f>(M69/1.21-P69)/(M69/1.21)</f>
        <v>9.3106754377931714E-2</v>
      </c>
    </row>
    <row r="72" spans="2:17" ht="15.75" thickBot="1" x14ac:dyDescent="0.3"/>
    <row r="73" spans="2:17" ht="18.75" x14ac:dyDescent="0.3">
      <c r="B73" s="103" t="s">
        <v>129</v>
      </c>
      <c r="C73" s="106" t="s">
        <v>16</v>
      </c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9"/>
    </row>
    <row r="74" spans="2:17" x14ac:dyDescent="0.25">
      <c r="B74" s="104"/>
      <c r="C74" s="1" t="s">
        <v>1</v>
      </c>
      <c r="D74" s="32" t="s">
        <v>2</v>
      </c>
      <c r="E74" s="2" t="s">
        <v>3</v>
      </c>
      <c r="F74" s="2" t="s">
        <v>4</v>
      </c>
      <c r="G74" s="2" t="s">
        <v>5</v>
      </c>
      <c r="H74" s="2" t="s">
        <v>6</v>
      </c>
      <c r="I74" s="2" t="s">
        <v>7</v>
      </c>
      <c r="J74" s="2" t="s">
        <v>8</v>
      </c>
      <c r="K74" s="2" t="s">
        <v>9</v>
      </c>
      <c r="L74" s="2" t="s">
        <v>10</v>
      </c>
      <c r="M74" s="2" t="s">
        <v>11</v>
      </c>
      <c r="N74" s="2" t="s">
        <v>12</v>
      </c>
      <c r="O74" s="2" t="s">
        <v>13</v>
      </c>
      <c r="P74" s="2" t="s">
        <v>14</v>
      </c>
      <c r="Q74" s="3" t="s">
        <v>15</v>
      </c>
    </row>
    <row r="75" spans="2:17" ht="15.75" x14ac:dyDescent="0.25">
      <c r="B75" s="104"/>
      <c r="C75" s="145">
        <v>50</v>
      </c>
      <c r="D75" s="32">
        <v>0</v>
      </c>
      <c r="E75" s="2">
        <v>1.39</v>
      </c>
      <c r="F75" s="2">
        <v>23.8</v>
      </c>
      <c r="G75" s="2">
        <v>1.23</v>
      </c>
      <c r="H75" s="2">
        <v>0</v>
      </c>
      <c r="I75" s="2">
        <v>1</v>
      </c>
      <c r="J75" s="2">
        <v>0</v>
      </c>
      <c r="K75" s="6">
        <v>0.18</v>
      </c>
      <c r="L75" s="2">
        <v>0</v>
      </c>
      <c r="M75" s="7">
        <f>(C75+H75)*E75*F75*G75*I75+J75</f>
        <v>2034.5430000000001</v>
      </c>
      <c r="N75" s="7">
        <f>((M75/1.21))*0.18</f>
        <v>302.65928925619835</v>
      </c>
      <c r="O75" s="9">
        <v>0</v>
      </c>
      <c r="P75" s="7">
        <f>(((1-O75)*C75))*F75+(D75*F75)+N75</f>
        <v>1492.6592892561985</v>
      </c>
      <c r="Q75" s="36">
        <f>(M75/1.21-P75)/(M75/1.21)</f>
        <v>0.11227349827455109</v>
      </c>
    </row>
    <row r="76" spans="2:17" ht="15.75" x14ac:dyDescent="0.25">
      <c r="B76" s="104"/>
      <c r="C76" s="145">
        <v>90</v>
      </c>
      <c r="D76" s="32">
        <v>0</v>
      </c>
      <c r="E76" s="2">
        <v>1.38</v>
      </c>
      <c r="F76" s="2">
        <v>23.8</v>
      </c>
      <c r="G76" s="2">
        <v>1.23</v>
      </c>
      <c r="H76" s="2">
        <v>0</v>
      </c>
      <c r="I76" s="2">
        <v>1</v>
      </c>
      <c r="J76" s="2">
        <v>0</v>
      </c>
      <c r="K76" s="6">
        <v>0.18</v>
      </c>
      <c r="L76" s="2">
        <v>0</v>
      </c>
      <c r="M76" s="7">
        <f t="shared" ref="M76:M79" si="34">(C76+H76)*E76*F76*G76*I76+J76</f>
        <v>3635.8308000000002</v>
      </c>
      <c r="N76" s="7">
        <f t="shared" ref="N76:N79" si="35">((M76/1.21))*0.18</f>
        <v>540.86739173553724</v>
      </c>
      <c r="O76" s="9">
        <v>0</v>
      </c>
      <c r="P76" s="7">
        <f t="shared" ref="P76:P79" si="36">(((1-O76)*C76))*F76+(D76*F76)+N76</f>
        <v>2682.8673917355372</v>
      </c>
      <c r="Q76" s="36">
        <f t="shared" ref="Q76:Q79" si="37">(M76/1.21-P76)/(M76/1.21)</f>
        <v>0.10714504536349713</v>
      </c>
    </row>
    <row r="77" spans="2:17" ht="15.75" x14ac:dyDescent="0.25">
      <c r="B77" s="104"/>
      <c r="C77" s="145">
        <v>150</v>
      </c>
      <c r="D77" s="32">
        <v>0</v>
      </c>
      <c r="E77" s="2">
        <v>1.38</v>
      </c>
      <c r="F77" s="2">
        <v>23.8</v>
      </c>
      <c r="G77" s="2">
        <v>1.23</v>
      </c>
      <c r="H77" s="2">
        <v>0</v>
      </c>
      <c r="I77" s="2">
        <v>1</v>
      </c>
      <c r="J77" s="2">
        <v>0</v>
      </c>
      <c r="K77" s="6">
        <v>0.18</v>
      </c>
      <c r="L77" s="2">
        <v>0</v>
      </c>
      <c r="M77" s="7">
        <f t="shared" si="34"/>
        <v>6059.7179999999989</v>
      </c>
      <c r="N77" s="7">
        <f t="shared" si="35"/>
        <v>901.44565289256184</v>
      </c>
      <c r="O77" s="9">
        <v>0</v>
      </c>
      <c r="P77" s="7">
        <f t="shared" si="36"/>
        <v>4471.4456528925621</v>
      </c>
      <c r="Q77" s="36">
        <f t="shared" si="37"/>
        <v>0.10714504536349695</v>
      </c>
    </row>
    <row r="78" spans="2:17" ht="15.75" x14ac:dyDescent="0.25">
      <c r="B78" s="104"/>
      <c r="C78" s="145">
        <v>250</v>
      </c>
      <c r="D78" s="32">
        <v>0</v>
      </c>
      <c r="E78" s="2">
        <v>1.37</v>
      </c>
      <c r="F78" s="2">
        <v>23.8</v>
      </c>
      <c r="G78" s="2">
        <v>1.23</v>
      </c>
      <c r="H78" s="2">
        <v>0</v>
      </c>
      <c r="I78" s="2">
        <v>1</v>
      </c>
      <c r="J78" s="2">
        <v>0</v>
      </c>
      <c r="K78" s="6">
        <v>0.18</v>
      </c>
      <c r="L78" s="2">
        <v>0</v>
      </c>
      <c r="M78" s="7">
        <f t="shared" si="34"/>
        <v>10026.344999999999</v>
      </c>
      <c r="N78" s="7">
        <f t="shared" si="35"/>
        <v>1491.5223966942149</v>
      </c>
      <c r="O78" s="9">
        <v>0</v>
      </c>
      <c r="P78" s="7">
        <f t="shared" si="36"/>
        <v>7441.5223966942149</v>
      </c>
      <c r="Q78" s="36">
        <f>(M78/1.21-P78)/(M78/1.21)</f>
        <v>0.10194172452673436</v>
      </c>
    </row>
    <row r="79" spans="2:17" ht="15.75" x14ac:dyDescent="0.25">
      <c r="B79" s="104"/>
      <c r="C79" s="145">
        <v>450</v>
      </c>
      <c r="D79" s="32">
        <v>0</v>
      </c>
      <c r="E79" s="2">
        <v>1.36</v>
      </c>
      <c r="F79" s="2">
        <v>23.8</v>
      </c>
      <c r="G79" s="2">
        <v>1.23</v>
      </c>
      <c r="H79" s="2">
        <v>0</v>
      </c>
      <c r="I79" s="2">
        <v>1</v>
      </c>
      <c r="J79" s="2">
        <v>0</v>
      </c>
      <c r="K79" s="6">
        <v>0.18</v>
      </c>
      <c r="L79" s="2">
        <v>0</v>
      </c>
      <c r="M79" s="7">
        <f t="shared" si="34"/>
        <v>17915.688000000002</v>
      </c>
      <c r="N79" s="7">
        <f t="shared" si="35"/>
        <v>2665.1436694214876</v>
      </c>
      <c r="O79" s="9">
        <v>0</v>
      </c>
      <c r="P79" s="7">
        <f t="shared" si="36"/>
        <v>13375.143669421488</v>
      </c>
      <c r="Q79" s="36">
        <f t="shared" ref="Q79:Q82" si="38">(M79/1.21-P79)/(M79/1.21)</f>
        <v>9.6661884265901554E-2</v>
      </c>
    </row>
    <row r="80" spans="2:17" x14ac:dyDescent="0.25">
      <c r="B80" s="104"/>
      <c r="D80" s="33"/>
      <c r="Q80" s="18"/>
    </row>
    <row r="81" spans="2:17" ht="18.75" x14ac:dyDescent="0.3">
      <c r="B81" s="104"/>
      <c r="C81" s="107" t="s">
        <v>17</v>
      </c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9"/>
    </row>
    <row r="82" spans="2:17" x14ac:dyDescent="0.25">
      <c r="B82" s="104"/>
      <c r="C82" s="1" t="s">
        <v>1</v>
      </c>
      <c r="D82" s="32" t="s">
        <v>2</v>
      </c>
      <c r="E82" s="2" t="s">
        <v>3</v>
      </c>
      <c r="F82" s="2" t="s">
        <v>4</v>
      </c>
      <c r="G82" s="2" t="s">
        <v>5</v>
      </c>
      <c r="H82" s="2" t="s">
        <v>6</v>
      </c>
      <c r="I82" s="2" t="s">
        <v>7</v>
      </c>
      <c r="J82" s="2" t="s">
        <v>8</v>
      </c>
      <c r="K82" s="2" t="s">
        <v>9</v>
      </c>
      <c r="L82" s="2" t="s">
        <v>10</v>
      </c>
      <c r="M82" s="2" t="s">
        <v>11</v>
      </c>
      <c r="N82" s="2" t="s">
        <v>12</v>
      </c>
      <c r="O82" s="2" t="s">
        <v>13</v>
      </c>
      <c r="P82" s="2" t="s">
        <v>14</v>
      </c>
      <c r="Q82" s="3" t="s">
        <v>15</v>
      </c>
    </row>
    <row r="83" spans="2:17" ht="15.75" x14ac:dyDescent="0.25">
      <c r="B83" s="104"/>
      <c r="C83" s="145">
        <v>50</v>
      </c>
      <c r="D83" s="32">
        <v>0</v>
      </c>
      <c r="E83" s="2">
        <v>1.39</v>
      </c>
      <c r="F83" s="2">
        <v>23.8</v>
      </c>
      <c r="G83" s="2">
        <v>1.23</v>
      </c>
      <c r="H83" s="2">
        <v>0</v>
      </c>
      <c r="I83" s="2">
        <v>1</v>
      </c>
      <c r="J83" s="2">
        <v>0</v>
      </c>
      <c r="K83" s="6">
        <v>0.18</v>
      </c>
      <c r="L83" s="2">
        <v>0</v>
      </c>
      <c r="M83" s="7">
        <f>(C83+H83)*E83*F83*G83*I83+J83</f>
        <v>2034.5430000000001</v>
      </c>
      <c r="N83" s="8">
        <f>(M83/1.21)*0.18</f>
        <v>302.65928925619835</v>
      </c>
      <c r="O83" s="9">
        <v>0</v>
      </c>
      <c r="P83" s="7">
        <f t="shared" ref="P83:P87" si="39">(((1-O83)*C83))*F83+(D83*F83)+N83</f>
        <v>1492.6592892561985</v>
      </c>
      <c r="Q83" s="36">
        <f>(M83/1.21-P83)/(M83/1.21)</f>
        <v>0.11227349827455109</v>
      </c>
    </row>
    <row r="84" spans="2:17" ht="15.75" x14ac:dyDescent="0.25">
      <c r="B84" s="104"/>
      <c r="C84" s="145">
        <v>90</v>
      </c>
      <c r="D84" s="32">
        <v>0</v>
      </c>
      <c r="E84" s="2">
        <v>1.38</v>
      </c>
      <c r="F84" s="2">
        <v>23.8</v>
      </c>
      <c r="G84" s="2">
        <v>1.23</v>
      </c>
      <c r="H84" s="2">
        <v>0</v>
      </c>
      <c r="I84" s="2">
        <v>1</v>
      </c>
      <c r="J84" s="2">
        <v>0</v>
      </c>
      <c r="K84" s="6">
        <v>0.18</v>
      </c>
      <c r="L84" s="2">
        <v>0</v>
      </c>
      <c r="M84" s="7">
        <f t="shared" ref="M84:M87" si="40">(C84+H84)*E84*F84*G84*I84+J84</f>
        <v>3635.8308000000002</v>
      </c>
      <c r="N84" s="8">
        <f t="shared" ref="N84:N87" si="41">(M84/1.21)*0.18</f>
        <v>540.86739173553724</v>
      </c>
      <c r="O84" s="9">
        <v>0</v>
      </c>
      <c r="P84" s="7">
        <f t="shared" si="39"/>
        <v>2682.8673917355372</v>
      </c>
      <c r="Q84" s="36">
        <f>(M84/1.21-P84)/(M84/1.21)</f>
        <v>0.10714504536349713</v>
      </c>
    </row>
    <row r="85" spans="2:17" ht="15.75" x14ac:dyDescent="0.25">
      <c r="B85" s="104"/>
      <c r="C85" s="145">
        <v>150</v>
      </c>
      <c r="D85" s="32">
        <v>0</v>
      </c>
      <c r="E85" s="2">
        <v>1.38</v>
      </c>
      <c r="F85" s="2">
        <v>23.8</v>
      </c>
      <c r="G85" s="2">
        <v>1.23</v>
      </c>
      <c r="H85" s="2">
        <v>0</v>
      </c>
      <c r="I85" s="2">
        <v>1</v>
      </c>
      <c r="J85" s="2">
        <v>0</v>
      </c>
      <c r="K85" s="6">
        <v>0.18</v>
      </c>
      <c r="L85" s="2">
        <v>0</v>
      </c>
      <c r="M85" s="7">
        <f t="shared" si="40"/>
        <v>6059.7179999999989</v>
      </c>
      <c r="N85" s="8">
        <f t="shared" si="41"/>
        <v>901.44565289256184</v>
      </c>
      <c r="O85" s="9">
        <v>0</v>
      </c>
      <c r="P85" s="7">
        <f t="shared" si="39"/>
        <v>4471.4456528925621</v>
      </c>
      <c r="Q85" s="36">
        <f>(M85/1.21-P85)/(M85/1.21)</f>
        <v>0.10714504536349695</v>
      </c>
    </row>
    <row r="86" spans="2:17" ht="15.75" x14ac:dyDescent="0.25">
      <c r="B86" s="104"/>
      <c r="C86" s="145">
        <v>250</v>
      </c>
      <c r="D86" s="32">
        <v>0</v>
      </c>
      <c r="E86" s="2">
        <v>1.37</v>
      </c>
      <c r="F86" s="2">
        <v>23.8</v>
      </c>
      <c r="G86" s="2">
        <v>1.23</v>
      </c>
      <c r="H86" s="2">
        <v>0</v>
      </c>
      <c r="I86" s="2">
        <v>1</v>
      </c>
      <c r="J86" s="2">
        <v>0</v>
      </c>
      <c r="K86" s="6">
        <v>0.18</v>
      </c>
      <c r="L86" s="2">
        <v>0</v>
      </c>
      <c r="M86" s="7">
        <f t="shared" si="40"/>
        <v>10026.344999999999</v>
      </c>
      <c r="N86" s="8">
        <f t="shared" si="41"/>
        <v>1491.5223966942149</v>
      </c>
      <c r="O86" s="9">
        <v>0</v>
      </c>
      <c r="P86" s="7">
        <f t="shared" si="39"/>
        <v>7441.5223966942149</v>
      </c>
      <c r="Q86" s="36">
        <f>(M86/1.21-P86)/(M86/1.21)</f>
        <v>0.10194172452673436</v>
      </c>
    </row>
    <row r="87" spans="2:17" ht="16.5" thickBot="1" x14ac:dyDescent="0.3">
      <c r="B87" s="105"/>
      <c r="C87" s="145">
        <v>450</v>
      </c>
      <c r="D87" s="32">
        <v>0</v>
      </c>
      <c r="E87" s="2">
        <v>1.36</v>
      </c>
      <c r="F87" s="2">
        <v>23.8</v>
      </c>
      <c r="G87" s="2">
        <v>1.23</v>
      </c>
      <c r="H87" s="2">
        <v>0</v>
      </c>
      <c r="I87" s="2">
        <v>1</v>
      </c>
      <c r="J87" s="2">
        <v>0</v>
      </c>
      <c r="K87" s="6">
        <v>0.18</v>
      </c>
      <c r="L87" s="2">
        <v>0</v>
      </c>
      <c r="M87" s="7">
        <f t="shared" si="40"/>
        <v>17915.688000000002</v>
      </c>
      <c r="N87" s="8">
        <f t="shared" si="41"/>
        <v>2665.1436694214876</v>
      </c>
      <c r="O87" s="9">
        <v>0</v>
      </c>
      <c r="P87" s="7">
        <f t="shared" si="39"/>
        <v>13375.143669421488</v>
      </c>
      <c r="Q87" s="36">
        <f>(M87/1.21-P87)/(M87/1.21)</f>
        <v>9.6661884265901554E-2</v>
      </c>
    </row>
  </sheetData>
  <mergeCells count="16">
    <mergeCell ref="B73:B87"/>
    <mergeCell ref="C73:Q73"/>
    <mergeCell ref="C81:Q81"/>
    <mergeCell ref="C55:Q55"/>
    <mergeCell ref="B55:B69"/>
    <mergeCell ref="C63:Q63"/>
    <mergeCell ref="B1:B23"/>
    <mergeCell ref="C1:T1"/>
    <mergeCell ref="C8:T8"/>
    <mergeCell ref="C9:D9"/>
    <mergeCell ref="E9:F9"/>
    <mergeCell ref="C45:Q45"/>
    <mergeCell ref="B45:B51"/>
    <mergeCell ref="B27:B41"/>
    <mergeCell ref="C27:Q27"/>
    <mergeCell ref="C35:Q3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53C8E-7BCF-433C-9ACC-F30135D57B98}">
  <dimension ref="B2:Q565"/>
  <sheetViews>
    <sheetView topLeftCell="A127" zoomScale="70" zoomScaleNormal="70" workbookViewId="0">
      <selection activeCell="B69" sqref="B69:Q83"/>
    </sheetView>
  </sheetViews>
  <sheetFormatPr defaultRowHeight="15.6" customHeight="1" x14ac:dyDescent="0.25"/>
  <cols>
    <col min="2" max="2" width="11.5703125" bestFit="1" customWidth="1"/>
    <col min="3" max="3" width="22.7109375" bestFit="1" customWidth="1"/>
    <col min="4" max="4" width="20.7109375" style="33" bestFit="1" customWidth="1"/>
    <col min="5" max="5" width="10.28515625" bestFit="1" customWidth="1"/>
    <col min="6" max="6" width="7.5703125" bestFit="1" customWidth="1"/>
    <col min="7" max="7" width="6.140625" bestFit="1" customWidth="1"/>
    <col min="8" max="8" width="11.5703125" bestFit="1" customWidth="1"/>
    <col min="9" max="9" width="18.5703125" bestFit="1" customWidth="1"/>
    <col min="10" max="10" width="13.140625" bestFit="1" customWidth="1"/>
    <col min="11" max="11" width="8.7109375" bestFit="1" customWidth="1"/>
    <col min="12" max="12" width="15" bestFit="1" customWidth="1"/>
    <col min="13" max="13" width="30.28515625" bestFit="1" customWidth="1"/>
    <col min="14" max="14" width="26.7109375" bestFit="1" customWidth="1"/>
    <col min="15" max="15" width="15.42578125" bestFit="1" customWidth="1"/>
    <col min="16" max="16" width="29.7109375" bestFit="1" customWidth="1"/>
    <col min="17" max="17" width="7.85546875" bestFit="1" customWidth="1"/>
  </cols>
  <sheetData>
    <row r="2" spans="2:17" ht="15.6" customHeight="1" thickBot="1" x14ac:dyDescent="0.3"/>
    <row r="3" spans="2:17" ht="15.6" customHeight="1" x14ac:dyDescent="0.3">
      <c r="B3" s="103" t="s">
        <v>66</v>
      </c>
      <c r="C3" s="106" t="s">
        <v>16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</row>
    <row r="4" spans="2:17" ht="15.6" customHeight="1" x14ac:dyDescent="0.25">
      <c r="B4" s="104"/>
      <c r="C4" s="1" t="s">
        <v>1</v>
      </c>
      <c r="D4" s="3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3" t="s">
        <v>15</v>
      </c>
    </row>
    <row r="5" spans="2:17" ht="15.6" customHeight="1" x14ac:dyDescent="0.25">
      <c r="B5" s="104"/>
      <c r="C5" s="34">
        <v>15.38</v>
      </c>
      <c r="D5" s="32">
        <v>31.81</v>
      </c>
      <c r="E5" s="2">
        <v>1.35</v>
      </c>
      <c r="F5" s="2">
        <v>5.35</v>
      </c>
      <c r="G5" s="2">
        <v>1.23</v>
      </c>
      <c r="H5" s="2">
        <v>30</v>
      </c>
      <c r="I5" s="2">
        <v>1</v>
      </c>
      <c r="J5" s="2">
        <v>0</v>
      </c>
      <c r="K5" s="6">
        <v>0.18</v>
      </c>
      <c r="L5" s="2">
        <v>0</v>
      </c>
      <c r="M5" s="7">
        <f>(C5+H5)*E5*F5*G5*I5+J5</f>
        <v>403.14117149999998</v>
      </c>
      <c r="N5" s="8">
        <f>((M5/1.21))*0.18</f>
        <v>59.971413942148757</v>
      </c>
      <c r="O5" s="9">
        <v>0</v>
      </c>
      <c r="P5" s="8">
        <f>(1-O5)*C5*F5+(D5*F5)+N5</f>
        <v>312.43791394214873</v>
      </c>
      <c r="Q5" s="36">
        <f>(M5/1.21-P5)/(M5/1.21)</f>
        <v>6.2239476897486878E-2</v>
      </c>
    </row>
    <row r="6" spans="2:17" ht="15.6" customHeight="1" x14ac:dyDescent="0.25">
      <c r="B6" s="104"/>
      <c r="C6" s="34">
        <v>40.85</v>
      </c>
      <c r="D6" s="32">
        <v>31.81</v>
      </c>
      <c r="E6" s="2">
        <v>1.33</v>
      </c>
      <c r="F6" s="2">
        <v>5.35</v>
      </c>
      <c r="G6" s="2">
        <v>1.23</v>
      </c>
      <c r="H6" s="2">
        <v>30</v>
      </c>
      <c r="I6" s="2">
        <v>1</v>
      </c>
      <c r="J6" s="2">
        <v>0</v>
      </c>
      <c r="K6" s="6">
        <v>0.18</v>
      </c>
      <c r="L6" s="2">
        <v>0</v>
      </c>
      <c r="M6" s="7">
        <f t="shared" ref="M6:M9" si="0">(C6+H6)*E6*F6*G6*I6+J6</f>
        <v>620.08380524999995</v>
      </c>
      <c r="N6" s="8">
        <f t="shared" ref="N6:N9" si="1">((M6/1.21))*0.18</f>
        <v>92.243871855371893</v>
      </c>
      <c r="O6" s="9">
        <v>0</v>
      </c>
      <c r="P6" s="8">
        <f>(1-O6)*C6*F6+(D6*F6)+N6</f>
        <v>480.97487185537187</v>
      </c>
      <c r="Q6" s="36">
        <f>(M6/1.21-P6)/(M6/1.21)</f>
        <v>6.145009752292669E-2</v>
      </c>
    </row>
    <row r="7" spans="2:17" ht="15.6" customHeight="1" x14ac:dyDescent="0.25">
      <c r="B7" s="104"/>
      <c r="C7" s="34">
        <v>62.19</v>
      </c>
      <c r="D7" s="32">
        <v>31.81</v>
      </c>
      <c r="E7" s="2">
        <v>1.32</v>
      </c>
      <c r="F7" s="2">
        <v>5.35</v>
      </c>
      <c r="G7" s="2">
        <v>1.23</v>
      </c>
      <c r="H7" s="2">
        <v>30</v>
      </c>
      <c r="I7" s="2">
        <v>1</v>
      </c>
      <c r="J7" s="2">
        <v>0</v>
      </c>
      <c r="K7" s="6">
        <v>0.18</v>
      </c>
      <c r="L7" s="2">
        <v>0</v>
      </c>
      <c r="M7" s="7">
        <f t="shared" si="0"/>
        <v>800.78630939999994</v>
      </c>
      <c r="N7" s="8">
        <f t="shared" si="1"/>
        <v>119.12523610909089</v>
      </c>
      <c r="O7" s="9">
        <v>0</v>
      </c>
      <c r="P7" s="8">
        <f>(1-O7)*C7*F7+(D7*F7)+N7</f>
        <v>622.02523610909077</v>
      </c>
      <c r="Q7" s="36">
        <f>(M7/1.21-P7)/(M7/1.21)</f>
        <v>6.0110635188139645E-2</v>
      </c>
    </row>
    <row r="8" spans="2:17" ht="15.6" customHeight="1" x14ac:dyDescent="0.25">
      <c r="B8" s="104"/>
      <c r="C8" s="34">
        <v>116.22</v>
      </c>
      <c r="D8" s="32">
        <v>31.81</v>
      </c>
      <c r="E8" s="2">
        <v>1.33</v>
      </c>
      <c r="F8" s="2">
        <v>5.35</v>
      </c>
      <c r="G8" s="2">
        <v>1.23</v>
      </c>
      <c r="H8" s="2">
        <v>30</v>
      </c>
      <c r="I8" s="2">
        <v>1</v>
      </c>
      <c r="J8" s="2">
        <v>0</v>
      </c>
      <c r="K8" s="6">
        <v>0.18</v>
      </c>
      <c r="L8" s="2">
        <v>0</v>
      </c>
      <c r="M8" s="7">
        <f>(C8+H8)*E8*F8*G8*I8+J8</f>
        <v>1279.7269443</v>
      </c>
      <c r="N8" s="8">
        <f t="shared" si="1"/>
        <v>190.37260328429753</v>
      </c>
      <c r="O8" s="9">
        <v>0</v>
      </c>
      <c r="P8" s="8">
        <f>(1-O8)*C8*F8+(D8*F8)+N8</f>
        <v>982.33310328429741</v>
      </c>
      <c r="Q8" s="36">
        <f>(M8/1.21-P8)/(M8/1.21)</f>
        <v>7.1190100147366445E-2</v>
      </c>
    </row>
    <row r="9" spans="2:17" ht="15.6" customHeight="1" x14ac:dyDescent="0.25">
      <c r="B9" s="104"/>
      <c r="C9" s="34">
        <v>287.2</v>
      </c>
      <c r="D9" s="32">
        <v>31.81</v>
      </c>
      <c r="E9" s="2">
        <v>1.34</v>
      </c>
      <c r="F9" s="2">
        <v>5.35</v>
      </c>
      <c r="G9" s="2">
        <v>1.23</v>
      </c>
      <c r="H9" s="2">
        <v>30</v>
      </c>
      <c r="I9" s="2">
        <v>1</v>
      </c>
      <c r="J9" s="2">
        <v>0</v>
      </c>
      <c r="K9" s="6">
        <v>0.18</v>
      </c>
      <c r="L9" s="2">
        <v>0</v>
      </c>
      <c r="M9" s="7">
        <f t="shared" si="0"/>
        <v>2797.0283639999993</v>
      </c>
      <c r="N9" s="8">
        <f t="shared" si="1"/>
        <v>416.08686406611554</v>
      </c>
      <c r="O9" s="9">
        <v>0</v>
      </c>
      <c r="P9" s="8">
        <f>(1-O9)*C9*F9+(D9*F9)+N9</f>
        <v>2122.7903640661152</v>
      </c>
      <c r="Q9" s="36">
        <f>(M9/1.21-P9)/(M9/1.21)</f>
        <v>8.1676691741978988E-2</v>
      </c>
    </row>
    <row r="10" spans="2:17" ht="15.6" customHeight="1" x14ac:dyDescent="0.25">
      <c r="B10" s="104"/>
      <c r="Q10" s="18"/>
    </row>
    <row r="11" spans="2:17" ht="15.6" customHeight="1" x14ac:dyDescent="0.3">
      <c r="B11" s="104"/>
      <c r="C11" s="107" t="s">
        <v>17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</row>
    <row r="12" spans="2:17" ht="15.6" customHeight="1" x14ac:dyDescent="0.25">
      <c r="B12" s="104"/>
      <c r="C12" s="1" t="s">
        <v>1</v>
      </c>
      <c r="D12" s="3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  <c r="N12" s="2" t="s">
        <v>12</v>
      </c>
      <c r="O12" s="2" t="s">
        <v>13</v>
      </c>
      <c r="P12" s="2" t="s">
        <v>14</v>
      </c>
      <c r="Q12" s="3" t="s">
        <v>15</v>
      </c>
    </row>
    <row r="13" spans="2:17" ht="15.6" customHeight="1" x14ac:dyDescent="0.25">
      <c r="B13" s="104"/>
      <c r="C13" s="34">
        <v>15.38</v>
      </c>
      <c r="D13" s="32">
        <v>22.31</v>
      </c>
      <c r="E13" s="2">
        <v>1.1499999999999999</v>
      </c>
      <c r="F13" s="2">
        <v>5.35</v>
      </c>
      <c r="G13" s="2">
        <v>1.23</v>
      </c>
      <c r="H13" s="2">
        <v>28</v>
      </c>
      <c r="I13" s="2">
        <v>1</v>
      </c>
      <c r="J13" s="2">
        <v>0</v>
      </c>
      <c r="K13" s="6">
        <v>0.18</v>
      </c>
      <c r="L13" s="2">
        <v>49</v>
      </c>
      <c r="M13" s="7">
        <f>(C13+H13)*E13*F13*G13*I13+J13</f>
        <v>328.28140349999995</v>
      </c>
      <c r="N13" s="8">
        <f>((M13/1.21))*0.18</f>
        <v>48.835250107438014</v>
      </c>
      <c r="O13" s="9">
        <v>0</v>
      </c>
      <c r="P13" s="8">
        <f>(1-O13)*C13*F13+(D13*F13)+N13</f>
        <v>250.47675010743802</v>
      </c>
      <c r="Q13" s="36">
        <f>(M13/1.21-P13)/(M13/1.21)</f>
        <v>7.6777227102356974E-2</v>
      </c>
    </row>
    <row r="14" spans="2:17" ht="15.6" customHeight="1" x14ac:dyDescent="0.25">
      <c r="B14" s="104"/>
      <c r="C14" s="34">
        <v>40.85</v>
      </c>
      <c r="D14" s="32">
        <v>22.31</v>
      </c>
      <c r="E14" s="2">
        <v>1.21</v>
      </c>
      <c r="F14" s="2">
        <v>5.35</v>
      </c>
      <c r="G14" s="2">
        <v>1.23</v>
      </c>
      <c r="H14" s="2">
        <v>28</v>
      </c>
      <c r="I14" s="2">
        <v>1</v>
      </c>
      <c r="J14" s="2">
        <v>0</v>
      </c>
      <c r="K14" s="6">
        <v>0.18</v>
      </c>
      <c r="L14" s="2">
        <v>49</v>
      </c>
      <c r="M14" s="7">
        <f t="shared" ref="M14:M17" si="2">(C14+H14)*E14*F14*G14*I14+J14</f>
        <v>548.21158424999987</v>
      </c>
      <c r="N14" s="8">
        <f t="shared" ref="N14:N17" si="3">((M14/1.21))*0.18</f>
        <v>81.552136499999975</v>
      </c>
      <c r="O14" s="9">
        <v>0</v>
      </c>
      <c r="P14" s="8">
        <f t="shared" ref="P14:P17" si="4">(1-O14)*C14*F14+(D14*F14)+N14</f>
        <v>419.45813649999991</v>
      </c>
      <c r="Q14" s="36">
        <f>(M14/1.21-P14)/(M14/1.21)</f>
        <v>7.4181648570298339E-2</v>
      </c>
    </row>
    <row r="15" spans="2:17" ht="15.6" customHeight="1" x14ac:dyDescent="0.25">
      <c r="B15" s="104"/>
      <c r="C15" s="34">
        <v>62.19</v>
      </c>
      <c r="D15" s="32">
        <v>22.31</v>
      </c>
      <c r="E15" s="2">
        <v>1.28</v>
      </c>
      <c r="F15" s="2">
        <v>5.35</v>
      </c>
      <c r="G15" s="2">
        <v>1.23</v>
      </c>
      <c r="H15" s="2">
        <v>25</v>
      </c>
      <c r="I15" s="2">
        <v>1</v>
      </c>
      <c r="J15" s="2">
        <v>0</v>
      </c>
      <c r="K15" s="6">
        <v>0.18</v>
      </c>
      <c r="L15" s="2">
        <v>49</v>
      </c>
      <c r="M15" s="7">
        <f t="shared" si="2"/>
        <v>734.4048575999999</v>
      </c>
      <c r="N15" s="8">
        <f t="shared" si="3"/>
        <v>109.2503093950413</v>
      </c>
      <c r="O15" s="9">
        <v>0</v>
      </c>
      <c r="P15" s="8">
        <f t="shared" si="4"/>
        <v>561.32530939504124</v>
      </c>
      <c r="Q15" s="36">
        <f>(M15/1.21-P15)/(M15/1.21)</f>
        <v>7.5164580763252289E-2</v>
      </c>
    </row>
    <row r="16" spans="2:17" ht="15.6" customHeight="1" x14ac:dyDescent="0.25">
      <c r="B16" s="104"/>
      <c r="C16" s="34">
        <v>116.22</v>
      </c>
      <c r="D16" s="32">
        <v>22.31</v>
      </c>
      <c r="E16" s="2">
        <v>1.3</v>
      </c>
      <c r="F16" s="2">
        <v>5.35</v>
      </c>
      <c r="G16" s="2">
        <v>1.23</v>
      </c>
      <c r="H16" s="2">
        <v>25</v>
      </c>
      <c r="I16" s="2">
        <v>1</v>
      </c>
      <c r="J16" s="2">
        <v>0</v>
      </c>
      <c r="K16" s="6">
        <v>0.18</v>
      </c>
      <c r="L16" s="2">
        <v>49</v>
      </c>
      <c r="M16" s="7">
        <f t="shared" si="2"/>
        <v>1208.087673</v>
      </c>
      <c r="N16" s="8">
        <f t="shared" si="3"/>
        <v>179.71552160330577</v>
      </c>
      <c r="O16" s="9">
        <v>0</v>
      </c>
      <c r="P16" s="8">
        <f t="shared" si="4"/>
        <v>920.85102160330564</v>
      </c>
      <c r="Q16" s="36">
        <f>(M16/1.21-P16)/(M16/1.21)</f>
        <v>7.7691328996782341E-2</v>
      </c>
    </row>
    <row r="17" spans="2:17" ht="15.6" customHeight="1" thickBot="1" x14ac:dyDescent="0.3">
      <c r="B17" s="105"/>
      <c r="C17" s="34">
        <v>287.2</v>
      </c>
      <c r="D17" s="32">
        <v>22.31</v>
      </c>
      <c r="E17" s="2">
        <v>1.31</v>
      </c>
      <c r="F17" s="2">
        <v>5.35</v>
      </c>
      <c r="G17" s="2">
        <v>1.23</v>
      </c>
      <c r="H17" s="2">
        <v>25</v>
      </c>
      <c r="I17" s="2">
        <v>1</v>
      </c>
      <c r="J17" s="2">
        <v>0</v>
      </c>
      <c r="K17" s="6">
        <v>0.18</v>
      </c>
      <c r="L17" s="2">
        <v>49</v>
      </c>
      <c r="M17" s="7">
        <f t="shared" si="2"/>
        <v>2691.306051</v>
      </c>
      <c r="N17" s="8">
        <f t="shared" si="3"/>
        <v>400.35957783471076</v>
      </c>
      <c r="O17" s="9">
        <v>0</v>
      </c>
      <c r="P17" s="8">
        <f t="shared" si="4"/>
        <v>2056.2380778347106</v>
      </c>
      <c r="Q17" s="36">
        <f>(M17/1.21-P17)/(M17/1.21)</f>
        <v>7.5523917744128963E-2</v>
      </c>
    </row>
    <row r="18" spans="2:17" ht="15.6" customHeight="1" thickBot="1" x14ac:dyDescent="0.3"/>
    <row r="19" spans="2:17" ht="15.6" customHeight="1" x14ac:dyDescent="0.3">
      <c r="B19" s="115" t="s">
        <v>108</v>
      </c>
      <c r="C19" s="106" t="s">
        <v>16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2:17" ht="15.6" customHeight="1" x14ac:dyDescent="0.25">
      <c r="B20" s="116"/>
      <c r="C20" s="1" t="s">
        <v>1</v>
      </c>
      <c r="D20" s="32" t="s">
        <v>2</v>
      </c>
      <c r="E20" s="2" t="s">
        <v>3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9</v>
      </c>
      <c r="L20" s="2" t="s">
        <v>10</v>
      </c>
      <c r="M20" s="2" t="s">
        <v>11</v>
      </c>
      <c r="N20" s="2" t="s">
        <v>12</v>
      </c>
      <c r="O20" s="2" t="s">
        <v>13</v>
      </c>
      <c r="P20" s="2" t="s">
        <v>14</v>
      </c>
      <c r="Q20" s="3" t="s">
        <v>15</v>
      </c>
    </row>
    <row r="21" spans="2:17" ht="15.6" customHeight="1" x14ac:dyDescent="0.25">
      <c r="B21" s="116"/>
      <c r="C21" s="34">
        <v>80</v>
      </c>
      <c r="D21" s="32">
        <v>50</v>
      </c>
      <c r="E21" s="2">
        <v>1.4</v>
      </c>
      <c r="F21" s="2">
        <v>5.35</v>
      </c>
      <c r="G21" s="2">
        <v>1.23</v>
      </c>
      <c r="H21" s="2">
        <v>30</v>
      </c>
      <c r="I21" s="2">
        <v>1</v>
      </c>
      <c r="J21" s="2">
        <v>0</v>
      </c>
      <c r="K21" s="6">
        <v>0.18</v>
      </c>
      <c r="L21" s="20">
        <v>100</v>
      </c>
      <c r="M21" s="7">
        <f>(C21+H21)*E21*F21*G21*I21+J21+L21</f>
        <v>1113.3969999999999</v>
      </c>
      <c r="N21" s="8">
        <f>((M21/1.21)-L21)*0.18</f>
        <v>147.62930578512396</v>
      </c>
      <c r="O21" s="9">
        <v>0</v>
      </c>
      <c r="P21" s="8">
        <f>(1-O21)*C21*F21+(D21*F21)+N21</f>
        <v>843.12930578512396</v>
      </c>
      <c r="Q21" s="36">
        <f>(M21/1.21-P21)/(M21/1.21)</f>
        <v>8.3717254492332943E-2</v>
      </c>
    </row>
    <row r="22" spans="2:17" ht="15.6" customHeight="1" x14ac:dyDescent="0.25">
      <c r="B22" s="116"/>
      <c r="C22" s="34">
        <v>200</v>
      </c>
      <c r="D22" s="32">
        <v>50</v>
      </c>
      <c r="E22" s="2">
        <v>1.4</v>
      </c>
      <c r="F22" s="2">
        <v>5.35</v>
      </c>
      <c r="G22" s="2">
        <v>1.23</v>
      </c>
      <c r="H22" s="2">
        <v>30</v>
      </c>
      <c r="I22" s="2">
        <v>1</v>
      </c>
      <c r="J22" s="2">
        <v>0</v>
      </c>
      <c r="K22" s="6">
        <v>0.18</v>
      </c>
      <c r="L22" s="20">
        <v>100</v>
      </c>
      <c r="M22" s="7">
        <f>(C22+H22)*E22*F22*G22*I22+J22+L22</f>
        <v>2218.9209999999998</v>
      </c>
      <c r="N22" s="8">
        <f>((M22/1.21)-L22)*0.18</f>
        <v>312.08742148760331</v>
      </c>
      <c r="O22" s="9">
        <v>0</v>
      </c>
      <c r="P22" s="8">
        <f>(1-O22)*C22*F22+(D22*F22)+N22</f>
        <v>1649.5874214876033</v>
      </c>
      <c r="Q22" s="36">
        <f>(M22/1.21-P22)/(M22/1.21)</f>
        <v>0.1004633423181808</v>
      </c>
    </row>
    <row r="23" spans="2:17" ht="15.6" customHeight="1" x14ac:dyDescent="0.25">
      <c r="B23" s="116"/>
      <c r="C23" s="34">
        <v>350</v>
      </c>
      <c r="D23" s="32">
        <v>50</v>
      </c>
      <c r="E23" s="2">
        <v>1.35</v>
      </c>
      <c r="F23" s="2">
        <v>5.35</v>
      </c>
      <c r="G23" s="2">
        <v>1.23</v>
      </c>
      <c r="H23" s="2">
        <v>30</v>
      </c>
      <c r="I23" s="2">
        <v>1</v>
      </c>
      <c r="J23" s="2">
        <v>0</v>
      </c>
      <c r="K23" s="6">
        <v>0.18</v>
      </c>
      <c r="L23" s="20">
        <v>100</v>
      </c>
      <c r="M23" s="7">
        <f>(C23+H23)*E23*F23*G23*I23+J23+L23</f>
        <v>3475.7964999999995</v>
      </c>
      <c r="N23" s="8">
        <f>((M23/1.21)-L23)*0.18</f>
        <v>499.06063636363632</v>
      </c>
      <c r="O23" s="9">
        <v>0</v>
      </c>
      <c r="P23" s="8">
        <f>(1-O23)*C23*F23+(D23*F23)+N23</f>
        <v>2639.0606363636361</v>
      </c>
      <c r="Q23" s="36">
        <f>(M23/1.21-P23)/(M23/1.21)</f>
        <v>8.1285866419394795E-2</v>
      </c>
    </row>
    <row r="24" spans="2:17" ht="15.6" customHeight="1" x14ac:dyDescent="0.25">
      <c r="B24" s="116"/>
      <c r="C24" s="34">
        <v>600</v>
      </c>
      <c r="D24" s="32">
        <v>50</v>
      </c>
      <c r="E24" s="2">
        <v>1.34</v>
      </c>
      <c r="F24" s="2">
        <v>5.35</v>
      </c>
      <c r="G24" s="2">
        <v>1.23</v>
      </c>
      <c r="H24" s="2">
        <v>30</v>
      </c>
      <c r="I24" s="2">
        <v>1</v>
      </c>
      <c r="J24" s="2">
        <v>0</v>
      </c>
      <c r="K24" s="6">
        <v>0.18</v>
      </c>
      <c r="L24" s="20">
        <v>100</v>
      </c>
      <c r="M24" s="7">
        <f>(C24+H24)*E24*F24*G24*I24+J24+L24</f>
        <v>5655.2581</v>
      </c>
      <c r="N24" s="8">
        <f>((M24/1.21)-L24)*0.18</f>
        <v>823.27806446280988</v>
      </c>
      <c r="O24" s="9">
        <v>0</v>
      </c>
      <c r="P24" s="8">
        <f>(1-O24)*C24*F24+(D24*F24)+N24</f>
        <v>4300.7780644628101</v>
      </c>
      <c r="Q24" s="36">
        <f>(M24/1.21-P24)/(M24/1.21)</f>
        <v>7.9804782384733194E-2</v>
      </c>
    </row>
    <row r="25" spans="2:17" ht="15.6" customHeight="1" x14ac:dyDescent="0.25">
      <c r="B25" s="116"/>
      <c r="C25" s="34">
        <v>800</v>
      </c>
      <c r="D25" s="32">
        <v>50</v>
      </c>
      <c r="E25" s="2">
        <v>1.33</v>
      </c>
      <c r="F25" s="2">
        <v>5.35</v>
      </c>
      <c r="G25" s="2">
        <v>1.23</v>
      </c>
      <c r="H25" s="2">
        <v>30</v>
      </c>
      <c r="I25" s="2">
        <v>1</v>
      </c>
      <c r="J25" s="2">
        <v>0</v>
      </c>
      <c r="K25" s="6">
        <v>0.18</v>
      </c>
      <c r="L25" s="20">
        <v>100</v>
      </c>
      <c r="M25" s="7">
        <f>(C25+H25)*E25*F25*G25*I25+J25+L25</f>
        <v>7364.2139499999994</v>
      </c>
      <c r="N25" s="8">
        <f>((M25/1.21)-L25)*0.18</f>
        <v>1077.5029016528924</v>
      </c>
      <c r="O25" s="9">
        <v>0</v>
      </c>
      <c r="P25" s="8">
        <f>(1-O25)*C25*F25+(D25*F25)+N25</f>
        <v>5625.0029016528924</v>
      </c>
      <c r="Q25" s="36">
        <f>(M25/1.21-P25)/(M25/1.21)</f>
        <v>7.5766462352713129E-2</v>
      </c>
    </row>
    <row r="26" spans="2:17" ht="15.6" customHeight="1" x14ac:dyDescent="0.25">
      <c r="B26" s="116"/>
      <c r="Q26" s="18"/>
    </row>
    <row r="27" spans="2:17" ht="15.6" customHeight="1" x14ac:dyDescent="0.3">
      <c r="B27" s="116"/>
      <c r="C27" s="107" t="s">
        <v>17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8" spans="2:17" ht="15.6" customHeight="1" x14ac:dyDescent="0.25">
      <c r="B28" s="116"/>
      <c r="C28" s="1" t="s">
        <v>1</v>
      </c>
      <c r="D28" s="32" t="s">
        <v>2</v>
      </c>
      <c r="E28" s="2" t="s">
        <v>3</v>
      </c>
      <c r="F28" s="2" t="s">
        <v>4</v>
      </c>
      <c r="G28" s="2" t="s">
        <v>5</v>
      </c>
      <c r="H28" s="2" t="s">
        <v>6</v>
      </c>
      <c r="I28" s="2" t="s">
        <v>7</v>
      </c>
      <c r="J28" s="2" t="s">
        <v>8</v>
      </c>
      <c r="K28" s="2" t="s">
        <v>9</v>
      </c>
      <c r="L28" s="2" t="s">
        <v>10</v>
      </c>
      <c r="M28" s="2" t="s">
        <v>11</v>
      </c>
      <c r="N28" s="2" t="s">
        <v>12</v>
      </c>
      <c r="O28" s="2" t="s">
        <v>13</v>
      </c>
      <c r="P28" s="2" t="s">
        <v>14</v>
      </c>
      <c r="Q28" s="3" t="s">
        <v>15</v>
      </c>
    </row>
    <row r="29" spans="2:17" ht="15.6" customHeight="1" x14ac:dyDescent="0.25">
      <c r="B29" s="116"/>
      <c r="C29" s="34">
        <v>80</v>
      </c>
      <c r="D29" s="32">
        <v>50</v>
      </c>
      <c r="E29" s="2">
        <v>1.4</v>
      </c>
      <c r="F29" s="2">
        <v>5.35</v>
      </c>
      <c r="G29" s="2">
        <v>1.23</v>
      </c>
      <c r="H29" s="2">
        <v>15</v>
      </c>
      <c r="I29" s="2">
        <v>1</v>
      </c>
      <c r="J29" s="2">
        <v>0</v>
      </c>
      <c r="K29" s="6">
        <v>0.18</v>
      </c>
      <c r="L29" s="2">
        <v>210</v>
      </c>
      <c r="M29" s="7">
        <f>(C29+H29)*E29*F29*G29*I29+J29+L29</f>
        <v>1085.2064999999998</v>
      </c>
      <c r="N29" s="8">
        <f>((M29/1.21)-L29)*0.18</f>
        <v>123.63567768595038</v>
      </c>
      <c r="O29" s="9">
        <v>0</v>
      </c>
      <c r="P29" s="8">
        <f>(1-O29)*C29*F29+(D29*F29)+N29</f>
        <v>819.13567768595044</v>
      </c>
      <c r="Q29" s="36">
        <f>(M29/1.21-P29)/(M29/1.21)</f>
        <v>8.6667680298634253E-2</v>
      </c>
    </row>
    <row r="30" spans="2:17" ht="15.6" customHeight="1" x14ac:dyDescent="0.25">
      <c r="B30" s="116"/>
      <c r="C30" s="34">
        <v>200</v>
      </c>
      <c r="D30" s="32">
        <v>50</v>
      </c>
      <c r="E30" s="2">
        <v>1.4</v>
      </c>
      <c r="F30" s="2">
        <v>5.35</v>
      </c>
      <c r="G30" s="2">
        <v>1.23</v>
      </c>
      <c r="H30" s="2">
        <v>10</v>
      </c>
      <c r="I30" s="2">
        <v>1</v>
      </c>
      <c r="J30" s="2">
        <v>0</v>
      </c>
      <c r="K30" s="6">
        <v>0.18</v>
      </c>
      <c r="L30" s="2">
        <v>210</v>
      </c>
      <c r="M30" s="7">
        <f>(C30+H30)*E30*F30*G30*I30+J30+L30</f>
        <v>2144.6669999999999</v>
      </c>
      <c r="N30" s="8">
        <f>((M30/1.21)-L30)*0.18</f>
        <v>281.24137190082644</v>
      </c>
      <c r="O30" s="9">
        <v>0</v>
      </c>
      <c r="P30" s="8">
        <f t="shared" ref="P30:P33" si="5">(1-O30)*C30*F30+(D30*F30)+N30</f>
        <v>1618.7413719008264</v>
      </c>
      <c r="Q30" s="36">
        <f>(M30/1.21-P30)/(M30/1.21)</f>
        <v>8.6722059881557456E-2</v>
      </c>
    </row>
    <row r="31" spans="2:17" ht="15.6" customHeight="1" x14ac:dyDescent="0.25">
      <c r="B31" s="116"/>
      <c r="C31" s="34">
        <v>350</v>
      </c>
      <c r="D31" s="32">
        <v>50</v>
      </c>
      <c r="E31" s="2">
        <v>1.3</v>
      </c>
      <c r="F31" s="2">
        <v>5.35</v>
      </c>
      <c r="G31" s="2">
        <v>1.23</v>
      </c>
      <c r="H31" s="2">
        <v>0</v>
      </c>
      <c r="I31" s="2">
        <v>1</v>
      </c>
      <c r="J31" s="2">
        <v>0</v>
      </c>
      <c r="K31" s="6">
        <v>0.18</v>
      </c>
      <c r="L31" s="2">
        <v>400</v>
      </c>
      <c r="M31" s="7">
        <f>(C31+H31)*E31*F31*G31*I31+J31+L31</f>
        <v>3394.1275000000001</v>
      </c>
      <c r="N31" s="8">
        <f>((M31/1.21)-L31)*0.18</f>
        <v>432.91152892561985</v>
      </c>
      <c r="O31" s="9">
        <v>0</v>
      </c>
      <c r="P31" s="8">
        <f t="shared" si="5"/>
        <v>2572.9115289256197</v>
      </c>
      <c r="Q31" s="36">
        <f>(M31/1.21-P31)/(M31/1.21)</f>
        <v>8.2761932190231591E-2</v>
      </c>
    </row>
    <row r="32" spans="2:17" ht="15.6" customHeight="1" x14ac:dyDescent="0.25">
      <c r="B32" s="116"/>
      <c r="C32" s="34">
        <v>600</v>
      </c>
      <c r="D32" s="32">
        <v>50</v>
      </c>
      <c r="E32" s="2">
        <v>1.26</v>
      </c>
      <c r="F32" s="2">
        <v>5.35</v>
      </c>
      <c r="G32" s="2">
        <v>1.23</v>
      </c>
      <c r="H32" s="2">
        <v>0</v>
      </c>
      <c r="I32" s="2">
        <v>1</v>
      </c>
      <c r="J32" s="2">
        <v>0</v>
      </c>
      <c r="K32" s="6">
        <v>0.18</v>
      </c>
      <c r="L32" s="2">
        <v>570</v>
      </c>
      <c r="M32" s="7">
        <f>(C32+H32)*E32*F32*G32*I32+J32+L32</f>
        <v>5544.8580000000002</v>
      </c>
      <c r="N32" s="8">
        <f>((M32/1.21)-L32)*0.18</f>
        <v>722.25490909090911</v>
      </c>
      <c r="O32" s="9">
        <v>0</v>
      </c>
      <c r="P32" s="8">
        <f t="shared" si="5"/>
        <v>4199.7549090909088</v>
      </c>
      <c r="Q32" s="36">
        <f>(M32/1.21-P32)/(M32/1.21)</f>
        <v>8.3528660247025419E-2</v>
      </c>
    </row>
    <row r="33" spans="2:17" ht="15.6" customHeight="1" thickBot="1" x14ac:dyDescent="0.3">
      <c r="B33" s="117"/>
      <c r="C33" s="34">
        <v>800</v>
      </c>
      <c r="D33" s="32">
        <v>50</v>
      </c>
      <c r="E33" s="2">
        <v>1.24</v>
      </c>
      <c r="F33" s="2">
        <v>5.35</v>
      </c>
      <c r="G33" s="2">
        <v>1.23</v>
      </c>
      <c r="H33" s="2">
        <v>0</v>
      </c>
      <c r="I33" s="2">
        <v>1</v>
      </c>
      <c r="J33" s="2">
        <v>0</v>
      </c>
      <c r="K33" s="6">
        <v>0.18</v>
      </c>
      <c r="L33" s="2">
        <v>720</v>
      </c>
      <c r="M33" s="7">
        <f>(C33+H33)*E33*F33*G33*I33+J33+L33</f>
        <v>7247.8559999999998</v>
      </c>
      <c r="N33" s="8">
        <f>((M33/1.21)-L33)*0.18</f>
        <v>948.59345454545451</v>
      </c>
      <c r="O33" s="9">
        <v>0</v>
      </c>
      <c r="P33" s="8">
        <f t="shared" si="5"/>
        <v>5496.0934545454547</v>
      </c>
      <c r="Q33" s="36">
        <f>(M33/1.21-P33)/(M33/1.21)</f>
        <v>8.2449612685461721E-2</v>
      </c>
    </row>
    <row r="34" spans="2:17" ht="15.6" customHeight="1" thickBot="1" x14ac:dyDescent="0.3"/>
    <row r="35" spans="2:17" ht="15.6" customHeight="1" x14ac:dyDescent="0.3">
      <c r="B35" s="103" t="s">
        <v>67</v>
      </c>
      <c r="C35" s="106" t="s">
        <v>16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2:17" ht="15.6" customHeight="1" x14ac:dyDescent="0.25">
      <c r="B36" s="104"/>
      <c r="C36" s="1" t="s">
        <v>1</v>
      </c>
      <c r="D36" s="32" t="s">
        <v>2</v>
      </c>
      <c r="E36" s="2" t="s">
        <v>3</v>
      </c>
      <c r="F36" s="2" t="s">
        <v>4</v>
      </c>
      <c r="G36" s="2" t="s">
        <v>5</v>
      </c>
      <c r="H36" s="2" t="s">
        <v>6</v>
      </c>
      <c r="I36" s="2" t="s">
        <v>7</v>
      </c>
      <c r="J36" s="2" t="s">
        <v>8</v>
      </c>
      <c r="K36" s="2" t="s">
        <v>9</v>
      </c>
      <c r="L36" s="2" t="s">
        <v>10</v>
      </c>
      <c r="M36" s="2" t="s">
        <v>11</v>
      </c>
      <c r="N36" s="2" t="s">
        <v>12</v>
      </c>
      <c r="O36" s="2" t="s">
        <v>13</v>
      </c>
      <c r="P36" s="2" t="s">
        <v>14</v>
      </c>
      <c r="Q36" s="3" t="s">
        <v>15</v>
      </c>
    </row>
    <row r="37" spans="2:17" ht="15.6" customHeight="1" x14ac:dyDescent="0.25">
      <c r="B37" s="104"/>
      <c r="C37" s="34">
        <v>15.38</v>
      </c>
      <c r="D37" s="32">
        <v>78.86</v>
      </c>
      <c r="E37" s="2">
        <v>1.27</v>
      </c>
      <c r="F37" s="2">
        <v>5.35</v>
      </c>
      <c r="G37" s="2">
        <v>1.23</v>
      </c>
      <c r="H37" s="2">
        <v>30</v>
      </c>
      <c r="I37" s="2">
        <v>1</v>
      </c>
      <c r="J37" s="2">
        <v>0</v>
      </c>
      <c r="K37" s="6">
        <v>0.18</v>
      </c>
      <c r="L37" s="2">
        <v>210</v>
      </c>
      <c r="M37" s="7">
        <f>(C37+H37)*E37*F37*G37*I37+J37+L37</f>
        <v>589.25132429999996</v>
      </c>
      <c r="N37" s="8">
        <f>((M37/1.21)-L37)*0.18</f>
        <v>49.857221796694212</v>
      </c>
      <c r="O37" s="9">
        <v>0</v>
      </c>
      <c r="P37" s="8">
        <f>(1-O37)*C37*F37+(D37*F37)+N37</f>
        <v>554.04122179669423</v>
      </c>
      <c r="Q37" s="36">
        <f>(M37/1.21-P37)/(M37/1.21)</f>
        <v>-0.13769770338724047</v>
      </c>
    </row>
    <row r="38" spans="2:17" ht="15.6" customHeight="1" x14ac:dyDescent="0.25">
      <c r="B38" s="104"/>
      <c r="C38" s="34">
        <v>40.85</v>
      </c>
      <c r="D38" s="32">
        <v>78.86</v>
      </c>
      <c r="E38" s="2">
        <v>1.31</v>
      </c>
      <c r="F38" s="2">
        <v>5.35</v>
      </c>
      <c r="G38" s="2">
        <v>1.23</v>
      </c>
      <c r="H38" s="2">
        <v>30</v>
      </c>
      <c r="I38" s="2">
        <v>1</v>
      </c>
      <c r="J38" s="2">
        <v>0</v>
      </c>
      <c r="K38" s="6">
        <v>0.18</v>
      </c>
      <c r="L38" s="2">
        <v>210</v>
      </c>
      <c r="M38" s="7">
        <f>(C38+H38)*E38*F38*G38*I38+J38+L38</f>
        <v>820.7592367499999</v>
      </c>
      <c r="N38" s="8">
        <f>((M38/1.21)-L38)*0.18</f>
        <v>84.296415384297504</v>
      </c>
      <c r="O38" s="9">
        <v>0</v>
      </c>
      <c r="P38" s="8">
        <f>(1-O38)*C38*F38+(D38*F38)+N38</f>
        <v>724.74491538429743</v>
      </c>
      <c r="Q38" s="36">
        <f>(M38/1.21-P38)/(M38/1.21)</f>
        <v>-6.8451390309619942E-2</v>
      </c>
    </row>
    <row r="39" spans="2:17" ht="15.6" customHeight="1" x14ac:dyDescent="0.25">
      <c r="B39" s="104"/>
      <c r="C39" s="34">
        <v>62.19</v>
      </c>
      <c r="D39" s="32">
        <v>78.86</v>
      </c>
      <c r="E39" s="2">
        <v>1.32</v>
      </c>
      <c r="F39" s="2">
        <v>5.35</v>
      </c>
      <c r="G39" s="2">
        <v>1.23</v>
      </c>
      <c r="H39" s="2">
        <v>30</v>
      </c>
      <c r="I39" s="2">
        <v>1</v>
      </c>
      <c r="J39" s="2">
        <v>0</v>
      </c>
      <c r="K39" s="6">
        <v>0.18</v>
      </c>
      <c r="L39" s="2">
        <v>210</v>
      </c>
      <c r="M39" s="7">
        <f>(C39+H39)*E39*F39*G39*I39+J39+L39</f>
        <v>1010.7863093999999</v>
      </c>
      <c r="N39" s="8">
        <f>((M39/1.21)-L39)*0.18</f>
        <v>112.5649055305785</v>
      </c>
      <c r="O39" s="9">
        <v>0</v>
      </c>
      <c r="P39" s="8">
        <f>(1-O39)*C39*F39+(D39*F39)+N39</f>
        <v>867.18240553057831</v>
      </c>
      <c r="Q39" s="36">
        <f>(M39/1.21-P39)/(M39/1.21)</f>
        <v>-3.8093512875986529E-2</v>
      </c>
    </row>
    <row r="40" spans="2:17" ht="15.6" customHeight="1" x14ac:dyDescent="0.25">
      <c r="B40" s="104"/>
      <c r="C40" s="34">
        <v>116.22</v>
      </c>
      <c r="D40" s="32">
        <v>78.86</v>
      </c>
      <c r="E40" s="2">
        <v>1.33</v>
      </c>
      <c r="F40" s="2">
        <v>5.35</v>
      </c>
      <c r="G40" s="2">
        <v>1.23</v>
      </c>
      <c r="H40" s="2">
        <v>30</v>
      </c>
      <c r="I40" s="2">
        <v>1</v>
      </c>
      <c r="J40" s="2">
        <v>0</v>
      </c>
      <c r="K40" s="6">
        <v>0.18</v>
      </c>
      <c r="L40" s="2">
        <v>210</v>
      </c>
      <c r="M40" s="7">
        <f>(C40+H40)*E40*F40*G40*I40+J40+L40</f>
        <v>1489.7269443</v>
      </c>
      <c r="N40" s="8">
        <f>((M40/1.21)-L40)*0.18</f>
        <v>183.81227270578512</v>
      </c>
      <c r="O40" s="9">
        <v>0</v>
      </c>
      <c r="P40" s="8">
        <f>(1-O40)*C40*F40+(D40*F40)+N40</f>
        <v>1227.4902727057849</v>
      </c>
      <c r="Q40" s="36">
        <f>(M40/1.21-P40)/(M40/1.21)</f>
        <v>2.996330530960243E-3</v>
      </c>
    </row>
    <row r="41" spans="2:17" ht="15.6" customHeight="1" x14ac:dyDescent="0.25">
      <c r="B41" s="104"/>
      <c r="C41" s="34">
        <v>287.2</v>
      </c>
      <c r="D41" s="32">
        <v>78.86</v>
      </c>
      <c r="E41" s="2">
        <v>1.34</v>
      </c>
      <c r="F41" s="2">
        <v>5.35</v>
      </c>
      <c r="G41" s="2">
        <v>1.23</v>
      </c>
      <c r="H41" s="2">
        <v>30</v>
      </c>
      <c r="I41" s="2">
        <v>1</v>
      </c>
      <c r="J41" s="2">
        <v>0</v>
      </c>
      <c r="K41" s="6">
        <v>0.18</v>
      </c>
      <c r="L41" s="2">
        <v>270</v>
      </c>
      <c r="M41" s="7">
        <f>(C41+H41)*E41*F41*G41*I41+J41+L41</f>
        <v>3067.0283639999993</v>
      </c>
      <c r="N41" s="8">
        <f>((M41/1.21)-L41)*0.18</f>
        <v>407.65215332231401</v>
      </c>
      <c r="O41" s="9">
        <v>0</v>
      </c>
      <c r="P41" s="8">
        <f>(1-O41)*C41*F41+(D41*F41)+N41</f>
        <v>2366.0731533223138</v>
      </c>
      <c r="Q41" s="36">
        <f>(M41/1.21-P41)/(M41/1.21)</f>
        <v>6.6539928640842502E-2</v>
      </c>
    </row>
    <row r="42" spans="2:17" ht="15.6" customHeight="1" x14ac:dyDescent="0.25">
      <c r="B42" s="104"/>
      <c r="Q42" s="18"/>
    </row>
    <row r="43" spans="2:17" ht="15.6" customHeight="1" x14ac:dyDescent="0.3">
      <c r="B43" s="104"/>
      <c r="C43" s="107" t="s">
        <v>17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9"/>
    </row>
    <row r="44" spans="2:17" ht="15.6" customHeight="1" x14ac:dyDescent="0.25">
      <c r="B44" s="104"/>
      <c r="C44" s="1" t="s">
        <v>1</v>
      </c>
      <c r="D44" s="32" t="s">
        <v>2</v>
      </c>
      <c r="E44" s="2" t="s">
        <v>3</v>
      </c>
      <c r="F44" s="2" t="s">
        <v>4</v>
      </c>
      <c r="G44" s="2" t="s">
        <v>5</v>
      </c>
      <c r="H44" s="2" t="s">
        <v>6</v>
      </c>
      <c r="I44" s="2" t="s">
        <v>7</v>
      </c>
      <c r="J44" s="2" t="s">
        <v>8</v>
      </c>
      <c r="K44" s="2" t="s">
        <v>9</v>
      </c>
      <c r="L44" s="2" t="s">
        <v>10</v>
      </c>
      <c r="M44" s="2" t="s">
        <v>11</v>
      </c>
      <c r="N44" s="2" t="s">
        <v>12</v>
      </c>
      <c r="O44" s="2" t="s">
        <v>13</v>
      </c>
      <c r="P44" s="2" t="s">
        <v>14</v>
      </c>
      <c r="Q44" s="3" t="s">
        <v>15</v>
      </c>
    </row>
    <row r="45" spans="2:17" ht="15.6" customHeight="1" x14ac:dyDescent="0.25">
      <c r="B45" s="104"/>
      <c r="C45" s="34">
        <v>15.38</v>
      </c>
      <c r="D45" s="32">
        <v>78.86</v>
      </c>
      <c r="E45" s="2">
        <v>0.96</v>
      </c>
      <c r="F45" s="2">
        <v>5.35</v>
      </c>
      <c r="G45" s="2">
        <v>1.23</v>
      </c>
      <c r="H45" s="2">
        <v>20</v>
      </c>
      <c r="I45" s="2">
        <v>1</v>
      </c>
      <c r="J45" s="2">
        <v>0</v>
      </c>
      <c r="K45" s="6">
        <v>0.18</v>
      </c>
      <c r="L45" s="2">
        <f>80+360</f>
        <v>440</v>
      </c>
      <c r="M45" s="7">
        <f>(C45+H45)*E45*F45*G45*I45+J45+L45</f>
        <v>663.50536639999996</v>
      </c>
      <c r="N45" s="8">
        <f>((M45/1.21)-L45)*0.18</f>
        <v>19.503277646280988</v>
      </c>
      <c r="O45" s="9">
        <v>0</v>
      </c>
      <c r="P45" s="8">
        <f>(1-O45)*C45*F45+(D45*F45)+N45</f>
        <v>523.6872776462809</v>
      </c>
      <c r="Q45" s="36">
        <f>(M45/1.21-P45)/(M45/1.21)</f>
        <v>4.4978928520087537E-2</v>
      </c>
    </row>
    <row r="46" spans="2:17" ht="15.6" customHeight="1" x14ac:dyDescent="0.25">
      <c r="B46" s="104"/>
      <c r="C46" s="34">
        <v>40.85</v>
      </c>
      <c r="D46" s="32">
        <v>78.86</v>
      </c>
      <c r="E46" s="2">
        <v>1.1299999999999999</v>
      </c>
      <c r="F46" s="2">
        <v>5.35</v>
      </c>
      <c r="G46" s="2">
        <v>1.23</v>
      </c>
      <c r="H46" s="2">
        <v>20</v>
      </c>
      <c r="I46" s="2">
        <v>1</v>
      </c>
      <c r="J46" s="2">
        <v>0</v>
      </c>
      <c r="K46" s="6">
        <v>0.18</v>
      </c>
      <c r="L46" s="2">
        <f>80+360</f>
        <v>440</v>
      </c>
      <c r="M46" s="7">
        <f>(C46+H46)*E46*F46*G46*I46+J46+L46</f>
        <v>892.47847024999987</v>
      </c>
      <c r="N46" s="8">
        <f>((M46/1.21)-L46)*0.18</f>
        <v>53.565392268595019</v>
      </c>
      <c r="O46" s="9">
        <v>0</v>
      </c>
      <c r="P46" s="8">
        <f t="shared" ref="P46:P49" si="6">(1-O46)*C46*F46+(D46*F46)+N46</f>
        <v>694.01389226859499</v>
      </c>
      <c r="Q46" s="36">
        <f>(M46/1.21-P46)/(M46/1.21)</f>
        <v>5.9073313656778328E-2</v>
      </c>
    </row>
    <row r="47" spans="2:17" ht="15.6" customHeight="1" x14ac:dyDescent="0.25">
      <c r="B47" s="104"/>
      <c r="C47" s="34">
        <v>62.19</v>
      </c>
      <c r="D47" s="32">
        <v>78.86</v>
      </c>
      <c r="E47" s="2">
        <v>1.19</v>
      </c>
      <c r="F47" s="2">
        <v>5.35</v>
      </c>
      <c r="G47" s="2">
        <v>1.23</v>
      </c>
      <c r="H47" s="2">
        <v>20</v>
      </c>
      <c r="I47" s="2">
        <v>1</v>
      </c>
      <c r="J47" s="2">
        <v>0</v>
      </c>
      <c r="K47" s="6">
        <v>0.18</v>
      </c>
      <c r="L47" s="2">
        <f>110+360</f>
        <v>470</v>
      </c>
      <c r="M47" s="7">
        <f>(C47+H47)*E47*F47*G47*I47+J47+L47</f>
        <v>1113.61304105</v>
      </c>
      <c r="N47" s="8">
        <f>((M47/1.21)-L47)*0.18</f>
        <v>81.061444123140504</v>
      </c>
      <c r="O47" s="9">
        <v>0</v>
      </c>
      <c r="P47" s="8">
        <f t="shared" si="6"/>
        <v>835.67894412314035</v>
      </c>
      <c r="Q47" s="36">
        <f>(M47/1.21-P47)/(M47/1.21)</f>
        <v>9.1990228997687121E-2</v>
      </c>
    </row>
    <row r="48" spans="2:17" ht="15.6" customHeight="1" x14ac:dyDescent="0.25">
      <c r="B48" s="104"/>
      <c r="C48" s="34">
        <v>116.22</v>
      </c>
      <c r="D48" s="32">
        <v>78.86</v>
      </c>
      <c r="E48" s="2">
        <v>1.25</v>
      </c>
      <c r="F48" s="2">
        <v>5.35</v>
      </c>
      <c r="G48" s="2">
        <v>1.23</v>
      </c>
      <c r="H48" s="2">
        <v>20</v>
      </c>
      <c r="I48" s="2">
        <v>1</v>
      </c>
      <c r="J48" s="2">
        <v>0</v>
      </c>
      <c r="K48" s="6">
        <v>0.18</v>
      </c>
      <c r="L48" s="2">
        <f>210+360</f>
        <v>570</v>
      </c>
      <c r="M48" s="7">
        <f>(C48+H48)*E48*F48*G48*I48+J48+L48</f>
        <v>1690.4946375</v>
      </c>
      <c r="N48" s="8">
        <f>((M48/1.21)-L48)*0.18</f>
        <v>148.87854111570249</v>
      </c>
      <c r="O48" s="9">
        <v>0</v>
      </c>
      <c r="P48" s="8">
        <f t="shared" si="6"/>
        <v>1192.5565411157024</v>
      </c>
      <c r="Q48" s="36">
        <f>(M48/1.21-P48)/(M48/1.21)</f>
        <v>0.14640757637422566</v>
      </c>
    </row>
    <row r="49" spans="2:17" ht="15.6" customHeight="1" thickBot="1" x14ac:dyDescent="0.3">
      <c r="B49" s="105"/>
      <c r="C49" s="34">
        <v>287.2</v>
      </c>
      <c r="D49" s="32">
        <v>78.86</v>
      </c>
      <c r="E49" s="2">
        <v>1.31</v>
      </c>
      <c r="F49" s="2">
        <v>5.35</v>
      </c>
      <c r="G49" s="2">
        <v>1.23</v>
      </c>
      <c r="H49" s="2">
        <v>20</v>
      </c>
      <c r="I49" s="2">
        <v>1</v>
      </c>
      <c r="J49" s="2">
        <v>0</v>
      </c>
      <c r="K49" s="6">
        <v>0.18</v>
      </c>
      <c r="L49" s="2">
        <f>375+420</f>
        <v>795</v>
      </c>
      <c r="M49" s="7">
        <f>(C49+H49)*E49*F49*G49*I49+J49+L49</f>
        <v>3443.2037759999998</v>
      </c>
      <c r="N49" s="8">
        <f>((M49/1.21)-L49)*0.18</f>
        <v>369.11213196694212</v>
      </c>
      <c r="O49" s="9">
        <v>0</v>
      </c>
      <c r="P49" s="8">
        <f t="shared" si="6"/>
        <v>2327.5331319669422</v>
      </c>
      <c r="Q49" s="36">
        <f>(M49/1.21-P49)/(M49/1.21)</f>
        <v>0.18206552010937385</v>
      </c>
    </row>
    <row r="51" spans="2:17" ht="15.6" customHeight="1" thickBot="1" x14ac:dyDescent="0.3"/>
    <row r="52" spans="2:17" ht="15.6" customHeight="1" x14ac:dyDescent="0.3">
      <c r="B52" s="115" t="s">
        <v>107</v>
      </c>
      <c r="C52" s="106" t="s">
        <v>16</v>
      </c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9"/>
    </row>
    <row r="53" spans="2:17" ht="15.6" customHeight="1" x14ac:dyDescent="0.25">
      <c r="B53" s="116"/>
      <c r="C53" s="1" t="s">
        <v>19</v>
      </c>
      <c r="D53" s="32" t="s">
        <v>2</v>
      </c>
      <c r="E53" s="2" t="s">
        <v>3</v>
      </c>
      <c r="F53" s="2" t="s">
        <v>4</v>
      </c>
      <c r="G53" s="2" t="s">
        <v>5</v>
      </c>
      <c r="H53" s="2" t="s">
        <v>6</v>
      </c>
      <c r="I53" s="2" t="s">
        <v>7</v>
      </c>
      <c r="J53" s="2" t="s">
        <v>8</v>
      </c>
      <c r="K53" s="2" t="s">
        <v>9</v>
      </c>
      <c r="L53" s="2" t="s">
        <v>10</v>
      </c>
      <c r="M53" s="2" t="s">
        <v>11</v>
      </c>
      <c r="N53" s="2" t="s">
        <v>12</v>
      </c>
      <c r="O53" s="2" t="s">
        <v>13</v>
      </c>
      <c r="P53" s="2" t="s">
        <v>14</v>
      </c>
      <c r="Q53" s="3" t="s">
        <v>15</v>
      </c>
    </row>
    <row r="54" spans="2:17" ht="15.6" customHeight="1" x14ac:dyDescent="0.25">
      <c r="B54" s="116"/>
      <c r="C54" s="34">
        <v>300</v>
      </c>
      <c r="D54" s="32">
        <v>15</v>
      </c>
      <c r="E54" s="2">
        <v>1.62</v>
      </c>
      <c r="F54" s="2">
        <v>5.35</v>
      </c>
      <c r="G54" s="2">
        <v>1</v>
      </c>
      <c r="H54" s="2">
        <v>-10</v>
      </c>
      <c r="I54" s="2">
        <v>1</v>
      </c>
      <c r="J54" s="2">
        <v>0</v>
      </c>
      <c r="K54" s="6">
        <v>0.18</v>
      </c>
      <c r="L54" s="2">
        <v>100</v>
      </c>
      <c r="M54" s="7">
        <f>(C54+H54)*E54*F54*G54*I54+J54+L54</f>
        <v>2613.4299999999998</v>
      </c>
      <c r="N54" s="8">
        <f>((M54-L54)/1.21)*0.18</f>
        <v>373.89867768595042</v>
      </c>
      <c r="O54" s="9">
        <v>0</v>
      </c>
      <c r="P54" s="8">
        <f>(((1-O54)*C54)/1.23)*F54+(D54*F54)+N54</f>
        <v>1759.026726466438</v>
      </c>
      <c r="Q54" s="36">
        <f>(M54/1.21-P54)/(M54/1.21)</f>
        <v>0.1855828015196925</v>
      </c>
    </row>
    <row r="55" spans="2:17" ht="15.6" customHeight="1" x14ac:dyDescent="0.25">
      <c r="B55" s="116"/>
      <c r="C55" s="34">
        <v>400</v>
      </c>
      <c r="D55" s="32">
        <v>15</v>
      </c>
      <c r="E55" s="2">
        <v>1.48</v>
      </c>
      <c r="F55" s="2">
        <v>5.35</v>
      </c>
      <c r="G55" s="2">
        <v>1</v>
      </c>
      <c r="H55" s="2">
        <v>-40</v>
      </c>
      <c r="I55" s="2">
        <v>1</v>
      </c>
      <c r="J55" s="2">
        <v>0</v>
      </c>
      <c r="K55" s="6">
        <v>0.18</v>
      </c>
      <c r="L55" s="2">
        <v>100</v>
      </c>
      <c r="M55" s="7">
        <f t="shared" ref="M55:M58" si="7">(C55+H55)*E55*F55*G55*I55+J55+L55</f>
        <v>2950.4799999999996</v>
      </c>
      <c r="N55" s="8">
        <f t="shared" ref="N55:N58" si="8">((M55-L55)/1.21)*0.18</f>
        <v>424.03834710743791</v>
      </c>
      <c r="O55" s="9">
        <v>0</v>
      </c>
      <c r="P55" s="8">
        <f>(((1-O55)*C55)/1.23)*F55+(D55*F55)+N55</f>
        <v>2244.1257454814217</v>
      </c>
      <c r="Q55" s="36">
        <f>(M55/1.21-P55)/(M55/1.21)</f>
        <v>7.9677831392681656E-2</v>
      </c>
    </row>
    <row r="56" spans="2:17" ht="15.6" customHeight="1" x14ac:dyDescent="0.25">
      <c r="B56" s="116"/>
      <c r="C56" s="34">
        <v>600</v>
      </c>
      <c r="D56" s="32">
        <v>15</v>
      </c>
      <c r="E56" s="2">
        <v>1.45</v>
      </c>
      <c r="F56" s="2">
        <v>5.35</v>
      </c>
      <c r="G56" s="2">
        <v>1</v>
      </c>
      <c r="H56" s="2">
        <v>-40</v>
      </c>
      <c r="I56" s="2">
        <v>1</v>
      </c>
      <c r="J56" s="2">
        <v>0</v>
      </c>
      <c r="K56" s="6">
        <v>0.18</v>
      </c>
      <c r="L56" s="2">
        <v>100</v>
      </c>
      <c r="M56" s="7">
        <f t="shared" si="7"/>
        <v>4444.2</v>
      </c>
      <c r="N56" s="8">
        <f t="shared" si="8"/>
        <v>646.2446280991735</v>
      </c>
      <c r="O56" s="9">
        <v>0</v>
      </c>
      <c r="P56" s="8">
        <f t="shared" ref="P56:P58" si="9">(((1-O56)*C56)/1.23)*F56+(D56*F56)+N56</f>
        <v>3336.2507256601489</v>
      </c>
      <c r="Q56" s="36">
        <f>(M56/1.21-P56)/(M56/1.21)</f>
        <v>9.1655781006979797E-2</v>
      </c>
    </row>
    <row r="57" spans="2:17" ht="15.6" customHeight="1" x14ac:dyDescent="0.25">
      <c r="B57" s="116"/>
      <c r="C57" s="34">
        <v>900</v>
      </c>
      <c r="D57" s="32">
        <v>15</v>
      </c>
      <c r="E57" s="2">
        <v>1.42</v>
      </c>
      <c r="F57" s="2">
        <v>5.35</v>
      </c>
      <c r="G57" s="2">
        <v>1</v>
      </c>
      <c r="H57" s="2">
        <v>-40</v>
      </c>
      <c r="I57" s="2">
        <v>1</v>
      </c>
      <c r="J57" s="2">
        <v>0</v>
      </c>
      <c r="K57" s="6">
        <v>0.18</v>
      </c>
      <c r="L57" s="2">
        <v>100</v>
      </c>
      <c r="M57" s="7">
        <f t="shared" si="7"/>
        <v>6633.42</v>
      </c>
      <c r="N57" s="8">
        <f t="shared" si="8"/>
        <v>971.91371900826437</v>
      </c>
      <c r="O57" s="9">
        <v>0</v>
      </c>
      <c r="P57" s="8">
        <f t="shared" si="9"/>
        <v>4966.7978653497275</v>
      </c>
      <c r="Q57" s="36">
        <f>(M57/1.21-P57)/(M57/1.21)</f>
        <v>9.4008005361763639E-2</v>
      </c>
    </row>
    <row r="58" spans="2:17" ht="15.6" customHeight="1" x14ac:dyDescent="0.25">
      <c r="B58" s="116"/>
      <c r="C58" s="34">
        <v>1500</v>
      </c>
      <c r="D58" s="32">
        <v>15</v>
      </c>
      <c r="E58" s="2">
        <v>1.4</v>
      </c>
      <c r="F58" s="2">
        <v>5.35</v>
      </c>
      <c r="G58" s="2">
        <v>1</v>
      </c>
      <c r="H58" s="2">
        <v>-50</v>
      </c>
      <c r="I58" s="2">
        <v>1</v>
      </c>
      <c r="J58" s="2">
        <v>0</v>
      </c>
      <c r="K58" s="6">
        <v>0.18</v>
      </c>
      <c r="L58" s="2">
        <v>100</v>
      </c>
      <c r="M58" s="7">
        <f t="shared" si="7"/>
        <v>10960.499999999998</v>
      </c>
      <c r="N58" s="8">
        <f t="shared" si="8"/>
        <v>1615.6115702479335</v>
      </c>
      <c r="O58" s="9">
        <v>0</v>
      </c>
      <c r="P58" s="8">
        <f t="shared" si="9"/>
        <v>8220.2518141503715</v>
      </c>
      <c r="Q58" s="36">
        <f>(M58/1.21-P58)/(M58/1.21)</f>
        <v>9.2513599277227326E-2</v>
      </c>
    </row>
    <row r="59" spans="2:17" ht="15.6" customHeight="1" x14ac:dyDescent="0.25">
      <c r="B59" s="116"/>
      <c r="Q59" s="18"/>
    </row>
    <row r="60" spans="2:17" ht="15.6" customHeight="1" x14ac:dyDescent="0.3">
      <c r="B60" s="116"/>
      <c r="C60" s="107" t="s">
        <v>17</v>
      </c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9"/>
    </row>
    <row r="61" spans="2:17" ht="15.6" customHeight="1" x14ac:dyDescent="0.25">
      <c r="B61" s="116"/>
      <c r="C61" s="1" t="s">
        <v>19</v>
      </c>
      <c r="D61" s="3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2" t="s">
        <v>8</v>
      </c>
      <c r="K61" s="2" t="s">
        <v>9</v>
      </c>
      <c r="L61" s="2" t="s">
        <v>10</v>
      </c>
      <c r="M61" s="2" t="s">
        <v>11</v>
      </c>
      <c r="N61" s="2" t="s">
        <v>12</v>
      </c>
      <c r="O61" s="2" t="s">
        <v>13</v>
      </c>
      <c r="P61" s="2" t="s">
        <v>14</v>
      </c>
      <c r="Q61" s="3" t="s">
        <v>15</v>
      </c>
    </row>
    <row r="62" spans="2:17" ht="15.6" customHeight="1" x14ac:dyDescent="0.25">
      <c r="B62" s="116"/>
      <c r="C62" s="34">
        <v>300</v>
      </c>
      <c r="D62" s="32">
        <v>15</v>
      </c>
      <c r="E62" s="2">
        <v>1.25</v>
      </c>
      <c r="F62" s="2">
        <v>5.35</v>
      </c>
      <c r="G62" s="2">
        <v>1</v>
      </c>
      <c r="H62" s="2">
        <v>0</v>
      </c>
      <c r="I62" s="2">
        <v>1</v>
      </c>
      <c r="J62" s="2">
        <v>0</v>
      </c>
      <c r="K62" s="6">
        <v>0.18</v>
      </c>
      <c r="L62" s="2">
        <v>210</v>
      </c>
      <c r="M62" s="7">
        <f>(C62+H62)*E62*F62*G62*I62+J62+L62</f>
        <v>2216.25</v>
      </c>
      <c r="N62" s="8">
        <f>((M62-L62)/1.21)*0.18</f>
        <v>298.45041322314046</v>
      </c>
      <c r="O62" s="9">
        <v>0</v>
      </c>
      <c r="P62" s="8">
        <f>(((1-O62)*C62)/1.23)*F62+(D62*F62)+N62</f>
        <v>1683.5784620036281</v>
      </c>
      <c r="Q62" s="36">
        <f>(M62/1.21-P62)/(M62/1.21)</f>
        <v>8.0821234506761444E-2</v>
      </c>
    </row>
    <row r="63" spans="2:17" ht="15.6" customHeight="1" x14ac:dyDescent="0.25">
      <c r="B63" s="116"/>
      <c r="C63" s="34">
        <v>400</v>
      </c>
      <c r="D63" s="32">
        <v>15</v>
      </c>
      <c r="E63" s="2">
        <v>1.35</v>
      </c>
      <c r="F63" s="2">
        <v>5.35</v>
      </c>
      <c r="G63" s="2">
        <v>1</v>
      </c>
      <c r="H63" s="2">
        <v>-40</v>
      </c>
      <c r="I63" s="2">
        <v>1</v>
      </c>
      <c r="J63" s="2">
        <v>0</v>
      </c>
      <c r="K63" s="6">
        <v>0.18</v>
      </c>
      <c r="L63" s="2">
        <v>400</v>
      </c>
      <c r="M63" s="7">
        <f t="shared" ref="M63:M66" si="10">(C63+H63)*E63*F63*G63*I63+J63+L63</f>
        <v>3000.1</v>
      </c>
      <c r="N63" s="8">
        <f t="shared" ref="N63:N66" si="11">(M63/1.21)*0.18</f>
        <v>446.29586776859497</v>
      </c>
      <c r="O63" s="9">
        <v>0</v>
      </c>
      <c r="P63" s="8">
        <f t="shared" ref="P63:P66" si="12">(((1-O63)*C63)/1.23)*F63+(D63*F63)+N63</f>
        <v>2266.3832661425786</v>
      </c>
      <c r="Q63" s="36">
        <f>(M63/1.21-P63)/(M63/1.21)</f>
        <v>8.592255190409645E-2</v>
      </c>
    </row>
    <row r="64" spans="2:17" ht="15.6" customHeight="1" x14ac:dyDescent="0.25">
      <c r="B64" s="116"/>
      <c r="C64" s="34">
        <v>600</v>
      </c>
      <c r="D64" s="32">
        <v>15</v>
      </c>
      <c r="E64" s="2">
        <v>1.39</v>
      </c>
      <c r="F64" s="2">
        <v>5.35</v>
      </c>
      <c r="G64" s="2">
        <v>1</v>
      </c>
      <c r="H64" s="2">
        <v>-70</v>
      </c>
      <c r="I64" s="2">
        <v>1</v>
      </c>
      <c r="J64" s="2">
        <v>0</v>
      </c>
      <c r="K64" s="6">
        <v>0.18</v>
      </c>
      <c r="L64" s="2">
        <v>570</v>
      </c>
      <c r="M64" s="7">
        <f t="shared" si="10"/>
        <v>4511.3449999999993</v>
      </c>
      <c r="N64" s="8">
        <f t="shared" si="11"/>
        <v>671.10917355371896</v>
      </c>
      <c r="O64" s="9">
        <v>0</v>
      </c>
      <c r="P64" s="8">
        <f t="shared" si="12"/>
        <v>3361.1152711146942</v>
      </c>
      <c r="Q64" s="36">
        <f>(M64/1.21-P64)/(M64/1.21)</f>
        <v>9.8506215319648482E-2</v>
      </c>
    </row>
    <row r="65" spans="2:17" ht="15.6" customHeight="1" x14ac:dyDescent="0.25">
      <c r="B65" s="116"/>
      <c r="C65" s="34">
        <v>900</v>
      </c>
      <c r="D65" s="32">
        <v>15</v>
      </c>
      <c r="E65" s="2">
        <v>1.36</v>
      </c>
      <c r="F65" s="2">
        <v>5.35</v>
      </c>
      <c r="G65" s="2">
        <v>1</v>
      </c>
      <c r="H65" s="2">
        <v>-100</v>
      </c>
      <c r="I65" s="2">
        <v>1</v>
      </c>
      <c r="J65" s="2">
        <v>0</v>
      </c>
      <c r="K65" s="6">
        <v>0.18</v>
      </c>
      <c r="L65" s="2">
        <v>720</v>
      </c>
      <c r="M65" s="7">
        <f t="shared" si="10"/>
        <v>6540.7999999999993</v>
      </c>
      <c r="N65" s="8">
        <f t="shared" si="11"/>
        <v>973.01157024793372</v>
      </c>
      <c r="O65" s="9">
        <v>0</v>
      </c>
      <c r="P65" s="8">
        <f t="shared" si="12"/>
        <v>4967.8957165893971</v>
      </c>
      <c r="Q65" s="36">
        <f>(M65/1.21-P65)/(M65/1.21)</f>
        <v>8.0975749591308169E-2</v>
      </c>
    </row>
    <row r="66" spans="2:17" ht="15.6" customHeight="1" thickBot="1" x14ac:dyDescent="0.3">
      <c r="B66" s="117"/>
      <c r="C66" s="34">
        <v>1500</v>
      </c>
      <c r="D66" s="32">
        <v>15</v>
      </c>
      <c r="E66" s="2">
        <v>1.37</v>
      </c>
      <c r="F66" s="2">
        <v>5.35</v>
      </c>
      <c r="G66" s="2">
        <v>1</v>
      </c>
      <c r="H66" s="2">
        <v>-160</v>
      </c>
      <c r="I66" s="2">
        <v>1</v>
      </c>
      <c r="J66" s="2">
        <v>0</v>
      </c>
      <c r="K66" s="6">
        <v>0.18</v>
      </c>
      <c r="L66" s="2">
        <v>1200</v>
      </c>
      <c r="M66" s="7">
        <f t="shared" si="10"/>
        <v>11021.53</v>
      </c>
      <c r="N66" s="8">
        <f t="shared" si="11"/>
        <v>1639.5664462809921</v>
      </c>
      <c r="O66" s="9">
        <v>0</v>
      </c>
      <c r="P66" s="8">
        <f t="shared" si="12"/>
        <v>8244.2066901834314</v>
      </c>
      <c r="Q66" s="36">
        <f>(M66/1.21-P66)/(M66/1.21)</f>
        <v>9.4908774451283054E-2</v>
      </c>
    </row>
    <row r="68" spans="2:17" ht="15.6" customHeight="1" thickBot="1" x14ac:dyDescent="0.3"/>
    <row r="69" spans="2:17" ht="15.6" customHeight="1" x14ac:dyDescent="0.3">
      <c r="B69" s="103" t="s">
        <v>77</v>
      </c>
      <c r="C69" s="106" t="s">
        <v>16</v>
      </c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</row>
    <row r="70" spans="2:17" ht="15.6" customHeight="1" x14ac:dyDescent="0.25">
      <c r="B70" s="104"/>
      <c r="C70" s="1" t="s">
        <v>19</v>
      </c>
      <c r="D70" s="32" t="s">
        <v>2</v>
      </c>
      <c r="E70" s="2" t="s">
        <v>3</v>
      </c>
      <c r="F70" s="2" t="s">
        <v>4</v>
      </c>
      <c r="G70" s="2" t="s">
        <v>5</v>
      </c>
      <c r="H70" s="2" t="s">
        <v>6</v>
      </c>
      <c r="I70" s="2" t="s">
        <v>7</v>
      </c>
      <c r="J70" s="2" t="s">
        <v>8</v>
      </c>
      <c r="K70" s="2" t="s">
        <v>9</v>
      </c>
      <c r="L70" s="2" t="s">
        <v>10</v>
      </c>
      <c r="M70" s="2" t="s">
        <v>11</v>
      </c>
      <c r="N70" s="2" t="s">
        <v>12</v>
      </c>
      <c r="O70" s="2" t="s">
        <v>13</v>
      </c>
      <c r="P70" s="2" t="s">
        <v>14</v>
      </c>
      <c r="Q70" s="3" t="s">
        <v>15</v>
      </c>
    </row>
    <row r="71" spans="2:17" ht="15.6" customHeight="1" x14ac:dyDescent="0.25">
      <c r="B71" s="104"/>
      <c r="C71" s="34">
        <v>10</v>
      </c>
      <c r="D71" s="32">
        <v>22.31</v>
      </c>
      <c r="E71" s="2">
        <v>1.46</v>
      </c>
      <c r="F71" s="2">
        <v>5.22</v>
      </c>
      <c r="G71" s="2">
        <v>1</v>
      </c>
      <c r="H71" s="2">
        <v>25</v>
      </c>
      <c r="I71" s="2">
        <v>1</v>
      </c>
      <c r="J71" s="2">
        <v>0</v>
      </c>
      <c r="K71" s="6">
        <v>0.18</v>
      </c>
      <c r="L71" s="2">
        <v>49</v>
      </c>
      <c r="M71" s="7">
        <f>(C71+H71)*E71*F71*G71*I71+J71</f>
        <v>266.74200000000002</v>
      </c>
      <c r="N71" s="7">
        <f>((M71/1.21))*0.18</f>
        <v>39.68062809917356</v>
      </c>
      <c r="O71" s="9">
        <v>0.05</v>
      </c>
      <c r="P71" s="7">
        <f>(((1-O71)*C71)/1.23)*F71+(D71*F71)+N71</f>
        <v>196.45590126990524</v>
      </c>
      <c r="Q71" s="36">
        <f>(M71/1.21-P71)/(M71/1.21)</f>
        <v>0.10883310263631035</v>
      </c>
    </row>
    <row r="72" spans="2:17" ht="15.6" customHeight="1" x14ac:dyDescent="0.25">
      <c r="B72" s="104"/>
      <c r="C72" s="34">
        <v>50</v>
      </c>
      <c r="D72" s="32">
        <v>22.31</v>
      </c>
      <c r="E72" s="2">
        <v>1.41</v>
      </c>
      <c r="F72" s="2">
        <v>5.22</v>
      </c>
      <c r="G72" s="2">
        <v>1</v>
      </c>
      <c r="H72" s="2">
        <v>23</v>
      </c>
      <c r="I72" s="2">
        <v>1</v>
      </c>
      <c r="J72" s="2">
        <v>0</v>
      </c>
      <c r="K72" s="6">
        <v>0.18</v>
      </c>
      <c r="L72" s="2">
        <v>49</v>
      </c>
      <c r="M72" s="7">
        <f t="shared" ref="M72:M75" si="13">(C72+H72)*E72*F72*G72*I72+J72</f>
        <v>537.29459999999995</v>
      </c>
      <c r="N72" s="7">
        <f t="shared" ref="N72:N75" si="14">((M72/1.21))*0.18</f>
        <v>79.928122314049574</v>
      </c>
      <c r="O72" s="9">
        <v>0.05</v>
      </c>
      <c r="P72" s="7">
        <f>(((1-O72)*C72)/1.23)*F72+(D72*F72)+N72</f>
        <v>397.97168816770807</v>
      </c>
      <c r="Q72" s="36">
        <f t="shared" ref="Q72:Q75" si="15">(M72/1.21-P72)/(M72/1.21)</f>
        <v>0.10375845451838381</v>
      </c>
    </row>
    <row r="73" spans="2:17" ht="15.6" customHeight="1" x14ac:dyDescent="0.25">
      <c r="B73" s="104"/>
      <c r="C73" s="34">
        <v>115</v>
      </c>
      <c r="D73" s="32">
        <v>22.31</v>
      </c>
      <c r="E73" s="2">
        <v>1.38</v>
      </c>
      <c r="F73" s="2">
        <v>5.22</v>
      </c>
      <c r="G73" s="2">
        <v>1</v>
      </c>
      <c r="H73" s="2">
        <v>20</v>
      </c>
      <c r="I73" s="2">
        <v>1</v>
      </c>
      <c r="J73" s="2">
        <v>0</v>
      </c>
      <c r="K73" s="6">
        <v>0.18</v>
      </c>
      <c r="L73" s="2">
        <v>49</v>
      </c>
      <c r="M73" s="7">
        <f t="shared" si="13"/>
        <v>972.48599999999988</v>
      </c>
      <c r="N73" s="7">
        <f t="shared" si="14"/>
        <v>144.6673388429752</v>
      </c>
      <c r="O73" s="9">
        <v>0.05</v>
      </c>
      <c r="P73" s="7">
        <f>(((1-O73)*C73)/1.23)*F73+(D73*F73)+N73</f>
        <v>724.7718803063899</v>
      </c>
      <c r="Q73" s="36">
        <f t="shared" si="15"/>
        <v>9.821429288366941E-2</v>
      </c>
    </row>
    <row r="74" spans="2:17" ht="15.6" customHeight="1" x14ac:dyDescent="0.25">
      <c r="B74" s="104"/>
      <c r="C74" s="34">
        <v>225</v>
      </c>
      <c r="D74" s="32">
        <v>22.31</v>
      </c>
      <c r="E74" s="2">
        <v>1.33</v>
      </c>
      <c r="F74" s="2">
        <v>5.22</v>
      </c>
      <c r="G74" s="2">
        <v>1</v>
      </c>
      <c r="H74" s="2">
        <v>20</v>
      </c>
      <c r="I74" s="2">
        <v>1</v>
      </c>
      <c r="J74" s="2">
        <v>0</v>
      </c>
      <c r="K74" s="6">
        <v>0.18</v>
      </c>
      <c r="L74" s="2">
        <v>49</v>
      </c>
      <c r="M74" s="7">
        <f t="shared" si="13"/>
        <v>1700.9370000000001</v>
      </c>
      <c r="N74" s="7">
        <f t="shared" si="14"/>
        <v>253.03195041322317</v>
      </c>
      <c r="O74" s="9">
        <v>0.05</v>
      </c>
      <c r="P74" s="7">
        <f t="shared" ref="P74:P75" si="16">(((1-O74)*C74)/1.23)*F74+(D74*F74)+N74</f>
        <v>1276.6242967546866</v>
      </c>
      <c r="Q74" s="36">
        <f>(M74/1.21-P74)/(M74/1.21)</f>
        <v>9.184443687616263E-2</v>
      </c>
    </row>
    <row r="75" spans="2:17" ht="15.6" customHeight="1" x14ac:dyDescent="0.25">
      <c r="B75" s="104"/>
      <c r="C75" s="34">
        <v>450</v>
      </c>
      <c r="D75" s="32">
        <v>22.31</v>
      </c>
      <c r="E75" s="2">
        <v>1.3</v>
      </c>
      <c r="F75" s="2">
        <v>5.22</v>
      </c>
      <c r="G75" s="2">
        <v>1</v>
      </c>
      <c r="H75" s="2">
        <v>20</v>
      </c>
      <c r="I75" s="2">
        <v>1</v>
      </c>
      <c r="J75" s="2">
        <v>0</v>
      </c>
      <c r="K75" s="6">
        <v>0.18</v>
      </c>
      <c r="L75" s="2">
        <v>49</v>
      </c>
      <c r="M75" s="7">
        <f t="shared" si="13"/>
        <v>3189.42</v>
      </c>
      <c r="N75" s="7">
        <f t="shared" si="14"/>
        <v>474.45917355371898</v>
      </c>
      <c r="O75" s="9">
        <v>0.05</v>
      </c>
      <c r="P75" s="7">
        <f t="shared" si="16"/>
        <v>2405.1856662366458</v>
      </c>
      <c r="Q75" s="36">
        <f t="shared" si="15"/>
        <v>8.7522290527324284E-2</v>
      </c>
    </row>
    <row r="76" spans="2:17" ht="15.6" customHeight="1" x14ac:dyDescent="0.25">
      <c r="B76" s="104"/>
      <c r="Q76" s="18"/>
    </row>
    <row r="77" spans="2:17" ht="15.6" customHeight="1" x14ac:dyDescent="0.3">
      <c r="B77" s="104"/>
      <c r="C77" s="107" t="s">
        <v>17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9"/>
    </row>
    <row r="78" spans="2:17" ht="15.6" customHeight="1" x14ac:dyDescent="0.25">
      <c r="B78" s="104"/>
      <c r="C78" s="1" t="s">
        <v>19</v>
      </c>
      <c r="D78" s="32" t="s">
        <v>2</v>
      </c>
      <c r="E78" s="2" t="s">
        <v>3</v>
      </c>
      <c r="F78" s="2" t="s">
        <v>4</v>
      </c>
      <c r="G78" s="2" t="s">
        <v>5</v>
      </c>
      <c r="H78" s="2" t="s">
        <v>6</v>
      </c>
      <c r="I78" s="2" t="s">
        <v>7</v>
      </c>
      <c r="J78" s="2" t="s">
        <v>8</v>
      </c>
      <c r="K78" s="2" t="s">
        <v>9</v>
      </c>
      <c r="L78" s="2" t="s">
        <v>10</v>
      </c>
      <c r="M78" s="2" t="s">
        <v>11</v>
      </c>
      <c r="N78" s="2" t="s">
        <v>12</v>
      </c>
      <c r="O78" s="2" t="s">
        <v>13</v>
      </c>
      <c r="P78" s="2" t="s">
        <v>14</v>
      </c>
      <c r="Q78" s="3" t="s">
        <v>15</v>
      </c>
    </row>
    <row r="79" spans="2:17" ht="15.6" customHeight="1" x14ac:dyDescent="0.25">
      <c r="B79" s="104"/>
      <c r="C79" s="34">
        <v>10</v>
      </c>
      <c r="D79" s="32">
        <v>22.31</v>
      </c>
      <c r="E79" s="2">
        <v>1.46</v>
      </c>
      <c r="F79" s="2">
        <v>5.22</v>
      </c>
      <c r="G79" s="2">
        <v>1</v>
      </c>
      <c r="H79" s="2">
        <v>25</v>
      </c>
      <c r="I79" s="2">
        <v>1</v>
      </c>
      <c r="J79" s="2">
        <v>0</v>
      </c>
      <c r="K79" s="6">
        <v>0.18</v>
      </c>
      <c r="L79" s="2">
        <v>49</v>
      </c>
      <c r="M79" s="7">
        <f>(C79+H79)*E79*F79*G79*I79+J79</f>
        <v>266.74200000000002</v>
      </c>
      <c r="N79" s="8">
        <f>(M79/1.21)*0.18</f>
        <v>39.68062809917356</v>
      </c>
      <c r="O79" s="9">
        <v>0.05</v>
      </c>
      <c r="P79" s="8">
        <f>(((1-O79)*C79)/1.23)*F79+(D79*F79)+N79</f>
        <v>196.45590126990524</v>
      </c>
      <c r="Q79" s="36">
        <f>(M79/1.21-P79)/(M79/1.21)</f>
        <v>0.10883310263631035</v>
      </c>
    </row>
    <row r="80" spans="2:17" ht="15.6" customHeight="1" x14ac:dyDescent="0.25">
      <c r="B80" s="104"/>
      <c r="C80" s="34">
        <v>50</v>
      </c>
      <c r="D80" s="32">
        <v>22.31</v>
      </c>
      <c r="E80" s="2">
        <v>1.46</v>
      </c>
      <c r="F80" s="2">
        <v>5.22</v>
      </c>
      <c r="G80" s="2">
        <v>1</v>
      </c>
      <c r="H80" s="2">
        <v>20</v>
      </c>
      <c r="I80" s="2">
        <v>1</v>
      </c>
      <c r="J80" s="2">
        <v>0</v>
      </c>
      <c r="K80" s="6">
        <v>0.18</v>
      </c>
      <c r="L80" s="2">
        <v>49</v>
      </c>
      <c r="M80" s="7">
        <f t="shared" ref="M80:M83" si="17">(C80+H80)*E80*F80*G80*I80+J80</f>
        <v>533.48400000000004</v>
      </c>
      <c r="N80" s="8">
        <f t="shared" ref="N80:N83" si="18">(M80/1.21)*0.18</f>
        <v>79.361256198347121</v>
      </c>
      <c r="O80" s="9">
        <v>0.05</v>
      </c>
      <c r="P80" s="8">
        <f t="shared" ref="P80:P83" si="19">(((1-O80)*C80)/1.23)*F80+(D80*F80)+N80</f>
        <v>397.40482205200561</v>
      </c>
      <c r="Q80" s="36">
        <f>(M80/1.21-P80)/(M80/1.21)</f>
        <v>9.8642443479229527E-2</v>
      </c>
    </row>
    <row r="81" spans="2:17" ht="15.6" customHeight="1" x14ac:dyDescent="0.25">
      <c r="B81" s="104"/>
      <c r="C81" s="34">
        <v>115</v>
      </c>
      <c r="D81" s="32">
        <v>22.31</v>
      </c>
      <c r="E81" s="2">
        <v>1.4</v>
      </c>
      <c r="F81" s="2">
        <v>5.22</v>
      </c>
      <c r="G81" s="2">
        <v>1</v>
      </c>
      <c r="H81" s="2">
        <v>18</v>
      </c>
      <c r="I81" s="2">
        <v>1</v>
      </c>
      <c r="J81" s="2">
        <v>0</v>
      </c>
      <c r="K81" s="6">
        <v>0.18</v>
      </c>
      <c r="L81" s="2">
        <v>49</v>
      </c>
      <c r="M81" s="7">
        <f t="shared" si="17"/>
        <v>971.96399999999994</v>
      </c>
      <c r="N81" s="8">
        <f t="shared" si="18"/>
        <v>144.58968595041321</v>
      </c>
      <c r="O81" s="9">
        <v>0.05</v>
      </c>
      <c r="P81" s="8">
        <f t="shared" si="19"/>
        <v>724.69422741382789</v>
      </c>
      <c r="Q81" s="36">
        <f>(M81/1.21-P81)/(M81/1.21)</f>
        <v>9.7826652869106523E-2</v>
      </c>
    </row>
    <row r="82" spans="2:17" ht="15.6" customHeight="1" x14ac:dyDescent="0.25">
      <c r="B82" s="104"/>
      <c r="C82" s="34">
        <v>225</v>
      </c>
      <c r="D82" s="32">
        <v>22.31</v>
      </c>
      <c r="E82" s="2">
        <v>1.34</v>
      </c>
      <c r="F82" s="2">
        <v>5.22</v>
      </c>
      <c r="G82" s="2">
        <v>1</v>
      </c>
      <c r="H82" s="2">
        <v>18</v>
      </c>
      <c r="I82" s="2">
        <v>1</v>
      </c>
      <c r="J82" s="2">
        <v>0</v>
      </c>
      <c r="K82" s="6">
        <v>0.18</v>
      </c>
      <c r="L82" s="2">
        <v>49</v>
      </c>
      <c r="M82" s="7">
        <f t="shared" si="17"/>
        <v>1699.7364</v>
      </c>
      <c r="N82" s="8">
        <f t="shared" si="18"/>
        <v>252.85334876033059</v>
      </c>
      <c r="O82" s="9">
        <v>0.05</v>
      </c>
      <c r="P82" s="8">
        <f t="shared" si="19"/>
        <v>1276.4456951017939</v>
      </c>
      <c r="Q82" s="36">
        <f>(M82/1.21-P82)/(M82/1.21)</f>
        <v>9.1330107966640831E-2</v>
      </c>
    </row>
    <row r="83" spans="2:17" ht="15.6" customHeight="1" thickBot="1" x14ac:dyDescent="0.3">
      <c r="B83" s="105"/>
      <c r="C83" s="34">
        <v>450</v>
      </c>
      <c r="D83" s="32">
        <v>22.31</v>
      </c>
      <c r="E83" s="2">
        <v>1.31</v>
      </c>
      <c r="F83" s="2">
        <v>5.22</v>
      </c>
      <c r="G83" s="2">
        <v>1</v>
      </c>
      <c r="H83" s="2">
        <v>18</v>
      </c>
      <c r="I83" s="2">
        <v>1</v>
      </c>
      <c r="J83" s="2">
        <v>0</v>
      </c>
      <c r="K83" s="6">
        <v>0.18</v>
      </c>
      <c r="L83" s="2">
        <v>49</v>
      </c>
      <c r="M83" s="7">
        <f t="shared" si="17"/>
        <v>3200.2775999999999</v>
      </c>
      <c r="N83" s="8">
        <f t="shared" si="18"/>
        <v>476.07435371900829</v>
      </c>
      <c r="O83" s="9">
        <v>0.05</v>
      </c>
      <c r="P83" s="8">
        <f t="shared" si="19"/>
        <v>2406.8008464019349</v>
      </c>
      <c r="Q83" s="36">
        <f>(M83/1.21-P83)/(M83/1.21)</f>
        <v>9.0007371814763495E-2</v>
      </c>
    </row>
    <row r="85" spans="2:17" ht="15.6" customHeight="1" thickBot="1" x14ac:dyDescent="0.3"/>
    <row r="86" spans="2:17" ht="15.6" customHeight="1" x14ac:dyDescent="0.3">
      <c r="B86" s="118" t="s">
        <v>78</v>
      </c>
      <c r="C86" s="106" t="s">
        <v>16</v>
      </c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9"/>
    </row>
    <row r="87" spans="2:17" ht="15.6" customHeight="1" x14ac:dyDescent="0.25">
      <c r="B87" s="119"/>
      <c r="C87" s="1" t="s">
        <v>1</v>
      </c>
      <c r="D87" s="32" t="s">
        <v>2</v>
      </c>
      <c r="E87" s="2" t="s">
        <v>3</v>
      </c>
      <c r="F87" s="2" t="s">
        <v>4</v>
      </c>
      <c r="G87" s="2" t="s">
        <v>5</v>
      </c>
      <c r="H87" s="2" t="s">
        <v>6</v>
      </c>
      <c r="I87" s="2" t="s">
        <v>7</v>
      </c>
      <c r="J87" s="2" t="s">
        <v>8</v>
      </c>
      <c r="K87" s="2" t="s">
        <v>9</v>
      </c>
      <c r="L87" s="2" t="s">
        <v>10</v>
      </c>
      <c r="M87" s="2" t="s">
        <v>11</v>
      </c>
      <c r="N87" s="2" t="s">
        <v>12</v>
      </c>
      <c r="O87" s="2" t="s">
        <v>13</v>
      </c>
      <c r="P87" s="2" t="s">
        <v>14</v>
      </c>
      <c r="Q87" s="3" t="s">
        <v>15</v>
      </c>
    </row>
    <row r="88" spans="2:17" ht="15.6" customHeight="1" x14ac:dyDescent="0.25">
      <c r="B88" s="119"/>
      <c r="C88" s="34">
        <v>13.9</v>
      </c>
      <c r="D88" s="32">
        <v>31.81</v>
      </c>
      <c r="E88" s="2">
        <v>1.28</v>
      </c>
      <c r="F88" s="2">
        <v>5.35</v>
      </c>
      <c r="G88" s="2">
        <v>1.23</v>
      </c>
      <c r="H88" s="2">
        <v>30</v>
      </c>
      <c r="I88" s="2">
        <v>1</v>
      </c>
      <c r="J88" s="2">
        <v>0</v>
      </c>
      <c r="K88" s="6">
        <v>0.18</v>
      </c>
      <c r="L88" s="2">
        <v>0</v>
      </c>
      <c r="M88" s="7">
        <f>(C88+H88)*E88*F88*G88*I88+J88</f>
        <v>369.77145599999994</v>
      </c>
      <c r="N88" s="8">
        <f>((M88/1.21))*0.18</f>
        <v>55.007324033057849</v>
      </c>
      <c r="O88" s="9">
        <v>0</v>
      </c>
      <c r="P88" s="8">
        <f>(1-O88)*C88*F88+(D88*F88)+N88</f>
        <v>299.55582403305783</v>
      </c>
      <c r="Q88" s="36">
        <f>(M88/1.21-P88)/(M88/1.21)</f>
        <v>1.9766017093542247E-2</v>
      </c>
    </row>
    <row r="89" spans="2:17" ht="15.6" customHeight="1" x14ac:dyDescent="0.25">
      <c r="B89" s="119"/>
      <c r="C89" s="34">
        <v>70.900000000000006</v>
      </c>
      <c r="D89" s="32">
        <v>31.81</v>
      </c>
      <c r="E89" s="2">
        <v>1.33</v>
      </c>
      <c r="F89" s="2">
        <v>5.35</v>
      </c>
      <c r="G89" s="2">
        <v>1.23</v>
      </c>
      <c r="H89" s="2">
        <v>30</v>
      </c>
      <c r="I89" s="2">
        <v>1</v>
      </c>
      <c r="J89" s="2">
        <v>0</v>
      </c>
      <c r="K89" s="6">
        <v>0.18</v>
      </c>
      <c r="L89" s="2">
        <v>0</v>
      </c>
      <c r="M89" s="7">
        <f t="shared" ref="M89:M92" si="20">(C89+H89)*E89*F89*G89*I89+J89</f>
        <v>883.08335849999992</v>
      </c>
      <c r="N89" s="8">
        <f t="shared" ref="N89:N92" si="21">((M89/1.21))*0.18</f>
        <v>131.36777233884297</v>
      </c>
      <c r="O89" s="9">
        <v>0</v>
      </c>
      <c r="P89" s="8">
        <f t="shared" ref="P89:P92" si="22">(1-O89)*C89*F89+(D89*F89)+N89</f>
        <v>680.86627233884292</v>
      </c>
      <c r="Q89" s="36">
        <f>(M89/1.21-P89)/(M89/1.21)</f>
        <v>6.7077664186330696E-2</v>
      </c>
    </row>
    <row r="90" spans="2:17" ht="15.6" customHeight="1" x14ac:dyDescent="0.25">
      <c r="B90" s="119"/>
      <c r="C90" s="34">
        <v>132</v>
      </c>
      <c r="D90" s="32">
        <v>31.81</v>
      </c>
      <c r="E90" s="2">
        <v>1.34</v>
      </c>
      <c r="F90" s="2">
        <v>5.35</v>
      </c>
      <c r="G90" s="2">
        <v>1.23</v>
      </c>
      <c r="H90" s="2">
        <v>30</v>
      </c>
      <c r="I90" s="2">
        <v>1</v>
      </c>
      <c r="J90" s="2">
        <v>0</v>
      </c>
      <c r="K90" s="6">
        <v>0.18</v>
      </c>
      <c r="L90" s="2">
        <v>0</v>
      </c>
      <c r="M90" s="7">
        <f t="shared" si="20"/>
        <v>1428.4949399999998</v>
      </c>
      <c r="N90" s="8">
        <f t="shared" si="21"/>
        <v>212.5033795041322</v>
      </c>
      <c r="O90" s="9">
        <v>0</v>
      </c>
      <c r="P90" s="8">
        <f t="shared" si="22"/>
        <v>1088.8868795041321</v>
      </c>
      <c r="Q90" s="36">
        <f>(M90/1.21-P90)/(M90/1.21)</f>
        <v>7.7663429315332336E-2</v>
      </c>
    </row>
    <row r="91" spans="2:17" ht="15.6" customHeight="1" x14ac:dyDescent="0.25">
      <c r="B91" s="119"/>
      <c r="C91" s="34">
        <v>272</v>
      </c>
      <c r="D91" s="32">
        <v>31.81</v>
      </c>
      <c r="E91" s="2">
        <v>1.34</v>
      </c>
      <c r="F91" s="2">
        <v>5.35</v>
      </c>
      <c r="G91" s="2">
        <v>1.23</v>
      </c>
      <c r="H91" s="2">
        <v>30</v>
      </c>
      <c r="I91" s="2">
        <v>1</v>
      </c>
      <c r="J91" s="2">
        <v>0</v>
      </c>
      <c r="K91" s="6">
        <v>0.18</v>
      </c>
      <c r="L91" s="2">
        <v>0</v>
      </c>
      <c r="M91" s="7">
        <f t="shared" si="20"/>
        <v>2662.99674</v>
      </c>
      <c r="N91" s="8">
        <f t="shared" si="21"/>
        <v>396.14827537190087</v>
      </c>
      <c r="O91" s="9">
        <v>0</v>
      </c>
      <c r="P91" s="8">
        <f t="shared" si="22"/>
        <v>2021.5317753719007</v>
      </c>
      <c r="Q91" s="36">
        <f>(M91/1.21-P91)/(M91/1.21)</f>
        <v>8.1465849560146436E-2</v>
      </c>
    </row>
    <row r="92" spans="2:17" ht="15.6" customHeight="1" x14ac:dyDescent="0.25">
      <c r="B92" s="119"/>
      <c r="C92" s="34">
        <v>439</v>
      </c>
      <c r="D92" s="32">
        <v>31.81</v>
      </c>
      <c r="E92" s="2">
        <v>1.34</v>
      </c>
      <c r="F92" s="2">
        <v>5.35</v>
      </c>
      <c r="G92" s="2">
        <v>1.23</v>
      </c>
      <c r="H92" s="2">
        <v>30</v>
      </c>
      <c r="I92" s="2">
        <v>1</v>
      </c>
      <c r="J92" s="2">
        <v>0</v>
      </c>
      <c r="K92" s="6">
        <v>0.18</v>
      </c>
      <c r="L92" s="2">
        <v>0</v>
      </c>
      <c r="M92" s="7">
        <f t="shared" si="20"/>
        <v>4135.5810300000003</v>
      </c>
      <c r="N92" s="8">
        <f t="shared" si="21"/>
        <v>615.21040115702488</v>
      </c>
      <c r="O92" s="9">
        <v>0</v>
      </c>
      <c r="P92" s="8">
        <f t="shared" si="22"/>
        <v>3134.0439011570247</v>
      </c>
      <c r="Q92" s="36">
        <f>(M92/1.21-P92)/(M92/1.21)</f>
        <v>8.3032567155382417E-2</v>
      </c>
    </row>
    <row r="93" spans="2:17" ht="15.6" customHeight="1" x14ac:dyDescent="0.25">
      <c r="B93" s="119"/>
      <c r="Q93" s="18"/>
    </row>
    <row r="94" spans="2:17" ht="15.6" customHeight="1" x14ac:dyDescent="0.3">
      <c r="B94" s="119"/>
      <c r="C94" s="107" t="s">
        <v>17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9"/>
    </row>
    <row r="95" spans="2:17" ht="15.6" customHeight="1" x14ac:dyDescent="0.25">
      <c r="B95" s="119"/>
      <c r="C95" s="1" t="s">
        <v>1</v>
      </c>
      <c r="D95" s="32" t="s">
        <v>2</v>
      </c>
      <c r="E95" s="2" t="s">
        <v>3</v>
      </c>
      <c r="F95" s="2" t="s">
        <v>4</v>
      </c>
      <c r="G95" s="2" t="s">
        <v>5</v>
      </c>
      <c r="H95" s="2" t="s">
        <v>6</v>
      </c>
      <c r="I95" s="2" t="s">
        <v>7</v>
      </c>
      <c r="J95" s="2" t="s">
        <v>8</v>
      </c>
      <c r="K95" s="2" t="s">
        <v>9</v>
      </c>
      <c r="L95" s="2" t="s">
        <v>10</v>
      </c>
      <c r="M95" s="2" t="s">
        <v>11</v>
      </c>
      <c r="N95" s="2" t="s">
        <v>12</v>
      </c>
      <c r="O95" s="2" t="s">
        <v>13</v>
      </c>
      <c r="P95" s="2" t="s">
        <v>14</v>
      </c>
      <c r="Q95" s="3" t="s">
        <v>15</v>
      </c>
    </row>
    <row r="96" spans="2:17" ht="15.6" customHeight="1" x14ac:dyDescent="0.25">
      <c r="B96" s="119"/>
      <c r="C96" s="34">
        <v>13.9</v>
      </c>
      <c r="D96" s="32">
        <v>22.31</v>
      </c>
      <c r="E96" s="2">
        <v>0.94499999999999995</v>
      </c>
      <c r="F96" s="2">
        <v>5.35</v>
      </c>
      <c r="G96" s="2">
        <v>1.23</v>
      </c>
      <c r="H96" s="2">
        <v>20</v>
      </c>
      <c r="I96" s="2">
        <v>1</v>
      </c>
      <c r="J96" s="2">
        <v>0</v>
      </c>
      <c r="K96" s="6">
        <v>0.18</v>
      </c>
      <c r="L96" s="2">
        <v>49</v>
      </c>
      <c r="M96" s="7">
        <f>(C96+H96)*E96*F96*G96*I96+J96</f>
        <v>210.80960774999997</v>
      </c>
      <c r="N96" s="8">
        <f>(M96/1.21)*0.18</f>
        <v>31.360106938016525</v>
      </c>
      <c r="O96" s="9">
        <v>0</v>
      </c>
      <c r="P96" s="8">
        <f>(1-O96)*C96*F96+(D96*F88)+N96</f>
        <v>225.08360693801652</v>
      </c>
      <c r="Q96" s="36">
        <f>(M96/1.21-P96)/(M96/1.21)</f>
        <v>-0.29192956289725847</v>
      </c>
    </row>
    <row r="97" spans="2:17" ht="15.6" customHeight="1" x14ac:dyDescent="0.25">
      <c r="B97" s="119"/>
      <c r="C97" s="34">
        <v>70.900000000000006</v>
      </c>
      <c r="D97" s="32">
        <v>22.31</v>
      </c>
      <c r="E97" s="2">
        <v>1.2150000000000001</v>
      </c>
      <c r="F97" s="2">
        <v>5.35</v>
      </c>
      <c r="G97" s="2">
        <v>1.23</v>
      </c>
      <c r="H97" s="2">
        <v>20</v>
      </c>
      <c r="I97" s="2">
        <v>1</v>
      </c>
      <c r="J97" s="2">
        <v>0</v>
      </c>
      <c r="K97" s="6">
        <v>0.18</v>
      </c>
      <c r="L97" s="2">
        <v>49</v>
      </c>
      <c r="M97" s="7">
        <f t="shared" ref="M97:M100" si="23">(C97+H97)*E97*F97*G97*I97+J97</f>
        <v>726.77345175000005</v>
      </c>
      <c r="N97" s="8">
        <f t="shared" ref="N97:N100" si="24">(M97/1.21)*0.18</f>
        <v>108.11505893801655</v>
      </c>
      <c r="O97" s="9">
        <v>0</v>
      </c>
      <c r="P97" s="8">
        <f t="shared" ref="P97:P100" si="25">(1-O97)*C97*F97+(D97*F89)+N97</f>
        <v>606.78855893801654</v>
      </c>
      <c r="Q97" s="36">
        <f>(M97/1.21-P97)/(M97/1.21)</f>
        <v>-1.0237997201305832E-2</v>
      </c>
    </row>
    <row r="98" spans="2:17" ht="15.6" customHeight="1" x14ac:dyDescent="0.25">
      <c r="B98" s="119"/>
      <c r="C98" s="34">
        <v>132</v>
      </c>
      <c r="D98" s="32">
        <v>22.31</v>
      </c>
      <c r="E98" s="2">
        <v>1.27</v>
      </c>
      <c r="F98" s="2">
        <v>5.35</v>
      </c>
      <c r="G98" s="2">
        <v>1.23</v>
      </c>
      <c r="H98" s="2">
        <v>20</v>
      </c>
      <c r="I98" s="2">
        <v>1</v>
      </c>
      <c r="J98" s="2">
        <v>0</v>
      </c>
      <c r="K98" s="6">
        <v>0.18</v>
      </c>
      <c r="L98" s="2">
        <v>49</v>
      </c>
      <c r="M98" s="7">
        <f t="shared" si="23"/>
        <v>1270.2997199999998</v>
      </c>
      <c r="N98" s="8">
        <f t="shared" si="24"/>
        <v>188.9702062809917</v>
      </c>
      <c r="O98" s="9">
        <v>0</v>
      </c>
      <c r="P98" s="8">
        <f t="shared" si="25"/>
        <v>1014.5287062809916</v>
      </c>
      <c r="Q98" s="36">
        <f>(M98/1.21-P98)/(M98/1.21)</f>
        <v>3.3629847135603512E-2</v>
      </c>
    </row>
    <row r="99" spans="2:17" ht="15.6" customHeight="1" x14ac:dyDescent="0.25">
      <c r="B99" s="119"/>
      <c r="C99" s="34">
        <v>272</v>
      </c>
      <c r="D99" s="32">
        <v>22.31</v>
      </c>
      <c r="E99" s="2">
        <v>1.31</v>
      </c>
      <c r="F99" s="2">
        <v>5.35</v>
      </c>
      <c r="G99" s="2">
        <v>1.23</v>
      </c>
      <c r="H99" s="2">
        <v>20</v>
      </c>
      <c r="I99" s="2">
        <v>1</v>
      </c>
      <c r="J99" s="2">
        <v>0</v>
      </c>
      <c r="K99" s="6">
        <v>0.18</v>
      </c>
      <c r="L99" s="2">
        <v>49</v>
      </c>
      <c r="M99" s="7">
        <f t="shared" si="23"/>
        <v>2517.1728600000001</v>
      </c>
      <c r="N99" s="8">
        <f t="shared" si="24"/>
        <v>374.45546677685951</v>
      </c>
      <c r="O99" s="9">
        <v>0</v>
      </c>
      <c r="P99" s="8">
        <f t="shared" si="25"/>
        <v>1949.0139667768594</v>
      </c>
      <c r="Q99" s="36">
        <f>(M99/1.21-P99)/(M99/1.21)</f>
        <v>6.3112852805826125E-2</v>
      </c>
    </row>
    <row r="100" spans="2:17" ht="15.6" customHeight="1" thickBot="1" x14ac:dyDescent="0.3">
      <c r="B100" s="120"/>
      <c r="C100" s="34">
        <v>439</v>
      </c>
      <c r="D100" s="32">
        <v>22.31</v>
      </c>
      <c r="E100" s="2">
        <v>1.32</v>
      </c>
      <c r="F100" s="2">
        <v>5.35</v>
      </c>
      <c r="G100" s="2">
        <v>1.23</v>
      </c>
      <c r="H100" s="2">
        <v>20</v>
      </c>
      <c r="I100" s="2">
        <v>1</v>
      </c>
      <c r="J100" s="2">
        <v>0</v>
      </c>
      <c r="K100" s="6">
        <v>0.18</v>
      </c>
      <c r="L100" s="2">
        <v>49</v>
      </c>
      <c r="M100" s="7">
        <f t="shared" si="23"/>
        <v>3986.9933399999995</v>
      </c>
      <c r="N100" s="8">
        <f t="shared" si="24"/>
        <v>593.10644727272722</v>
      </c>
      <c r="O100" s="9">
        <v>0</v>
      </c>
      <c r="P100" s="8">
        <f t="shared" si="25"/>
        <v>3061.1149472727266</v>
      </c>
      <c r="Q100" s="36">
        <f>(M100/1.21-P100)/(M100/1.21)</f>
        <v>7.099190534389016E-2</v>
      </c>
    </row>
    <row r="102" spans="2:17" ht="15.6" customHeight="1" thickBot="1" x14ac:dyDescent="0.3"/>
    <row r="103" spans="2:17" ht="15.6" customHeight="1" x14ac:dyDescent="0.3">
      <c r="B103" s="118" t="s">
        <v>72</v>
      </c>
      <c r="C103" s="106" t="s">
        <v>16</v>
      </c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9"/>
    </row>
    <row r="104" spans="2:17" ht="15.6" customHeight="1" x14ac:dyDescent="0.25">
      <c r="B104" s="119"/>
      <c r="C104" s="1" t="s">
        <v>19</v>
      </c>
      <c r="D104" s="32" t="s">
        <v>2</v>
      </c>
      <c r="E104" s="2" t="s">
        <v>3</v>
      </c>
      <c r="F104" s="2" t="s">
        <v>4</v>
      </c>
      <c r="G104" s="2" t="s">
        <v>5</v>
      </c>
      <c r="H104" s="2" t="s">
        <v>6</v>
      </c>
      <c r="I104" s="2" t="s">
        <v>7</v>
      </c>
      <c r="J104" s="2" t="s">
        <v>8</v>
      </c>
      <c r="K104" s="2" t="s">
        <v>9</v>
      </c>
      <c r="L104" s="2" t="s">
        <v>10</v>
      </c>
      <c r="M104" s="2" t="s">
        <v>11</v>
      </c>
      <c r="N104" s="2" t="s">
        <v>12</v>
      </c>
      <c r="O104" s="2" t="s">
        <v>13</v>
      </c>
      <c r="P104" s="2" t="s">
        <v>14</v>
      </c>
      <c r="Q104" s="3" t="s">
        <v>15</v>
      </c>
    </row>
    <row r="105" spans="2:17" ht="15.6" customHeight="1" x14ac:dyDescent="0.25">
      <c r="B105" s="119"/>
      <c r="C105" s="34">
        <v>49.2</v>
      </c>
      <c r="D105" s="32">
        <v>51.61</v>
      </c>
      <c r="E105" s="2">
        <v>1.1200000000000001</v>
      </c>
      <c r="F105" s="2">
        <v>5.35</v>
      </c>
      <c r="G105" s="2">
        <v>1</v>
      </c>
      <c r="H105" s="2">
        <v>29</v>
      </c>
      <c r="I105" s="2">
        <v>1</v>
      </c>
      <c r="J105" s="2">
        <v>0</v>
      </c>
      <c r="K105" s="6">
        <v>0.18</v>
      </c>
      <c r="L105" s="2">
        <v>150</v>
      </c>
      <c r="M105" s="7">
        <f>(C105+H105)*E105*F105*G105*I105+J105+L105</f>
        <v>618.57440000000008</v>
      </c>
      <c r="N105" s="8">
        <f>((M105/1.21)-L105)*0.18</f>
        <v>65.019332231404974</v>
      </c>
      <c r="O105" s="9">
        <v>0.28000000000000003</v>
      </c>
      <c r="P105" s="8">
        <f>(((1-O105)*C105)/1.23)*F105+(D105*F105)+N105</f>
        <v>495.21283223140495</v>
      </c>
      <c r="Q105" s="36">
        <f>(M105/1.21-P105)/(M105/1.21)</f>
        <v>3.1308882165185126E-2</v>
      </c>
    </row>
    <row r="106" spans="2:17" ht="15.6" customHeight="1" x14ac:dyDescent="0.25">
      <c r="B106" s="119"/>
      <c r="C106" s="34">
        <v>127.92</v>
      </c>
      <c r="D106" s="32">
        <v>51.61</v>
      </c>
      <c r="E106" s="2">
        <v>1.1000000000000001</v>
      </c>
      <c r="F106" s="2">
        <v>5.35</v>
      </c>
      <c r="G106" s="2">
        <v>1</v>
      </c>
      <c r="H106" s="2">
        <v>20</v>
      </c>
      <c r="I106" s="2">
        <v>1</v>
      </c>
      <c r="J106" s="2">
        <v>0</v>
      </c>
      <c r="K106" s="6">
        <v>0.18</v>
      </c>
      <c r="L106" s="2">
        <v>150</v>
      </c>
      <c r="M106" s="7">
        <f>(C106+H106)*E106*F106*G106*I106+J106+L106</f>
        <v>1020.5092000000001</v>
      </c>
      <c r="N106" s="8">
        <f>((M106/1.21)-L106)*0.18</f>
        <v>124.81128595041324</v>
      </c>
      <c r="O106" s="9">
        <v>0.28000000000000003</v>
      </c>
      <c r="P106" s="8">
        <f t="shared" ref="P106:P109" si="26">(((1-O106)*C106)/1.23)*F106+(D106*F106)+N106</f>
        <v>801.5327859504132</v>
      </c>
      <c r="Q106" s="36">
        <f>(M106/1.21-P106)/(M106/1.21)</f>
        <v>4.9636523609978389E-2</v>
      </c>
    </row>
    <row r="107" spans="2:17" ht="15.6" customHeight="1" x14ac:dyDescent="0.25">
      <c r="B107" s="119"/>
      <c r="C107" s="34">
        <v>238.62</v>
      </c>
      <c r="D107" s="32">
        <v>51.61</v>
      </c>
      <c r="E107" s="2">
        <v>1.0900000000000001</v>
      </c>
      <c r="F107" s="2">
        <v>5.35</v>
      </c>
      <c r="G107" s="2">
        <v>1</v>
      </c>
      <c r="H107" s="2">
        <v>10</v>
      </c>
      <c r="I107" s="2">
        <v>1</v>
      </c>
      <c r="J107" s="2">
        <v>0</v>
      </c>
      <c r="K107" s="6">
        <v>0.18</v>
      </c>
      <c r="L107" s="2">
        <v>150</v>
      </c>
      <c r="M107" s="7">
        <f>(C107+H107)*E107*F107*G107*I107+J107+L107</f>
        <v>1599.82753</v>
      </c>
      <c r="N107" s="8">
        <f>((M107/1.21)-L107)*0.18</f>
        <v>210.99087223140495</v>
      </c>
      <c r="O107" s="9">
        <v>0.28000000000000003</v>
      </c>
      <c r="P107" s="8">
        <f t="shared" si="26"/>
        <v>1234.3923722314048</v>
      </c>
      <c r="Q107" s="36">
        <f>(M107/1.21-P107)/(M107/1.21)</f>
        <v>6.6390131191204196E-2</v>
      </c>
    </row>
    <row r="108" spans="2:17" ht="15.6" customHeight="1" x14ac:dyDescent="0.25">
      <c r="B108" s="119"/>
      <c r="C108" s="34">
        <v>437.88</v>
      </c>
      <c r="D108" s="32">
        <v>51.61</v>
      </c>
      <c r="E108" s="2">
        <v>1.1000000000000001</v>
      </c>
      <c r="F108" s="2">
        <v>5.35</v>
      </c>
      <c r="G108" s="2">
        <v>1</v>
      </c>
      <c r="H108" s="2">
        <v>0</v>
      </c>
      <c r="I108" s="2">
        <v>1</v>
      </c>
      <c r="J108" s="2">
        <v>0</v>
      </c>
      <c r="K108" s="6">
        <v>0.18</v>
      </c>
      <c r="L108" s="2">
        <v>150</v>
      </c>
      <c r="M108" s="7">
        <f>(C108+H108)*E108*F108*G108*I108+J108+L108</f>
        <v>2726.9238</v>
      </c>
      <c r="N108" s="8">
        <f>((M108/1.21)-L108)*0.18</f>
        <v>378.65808595041324</v>
      </c>
      <c r="O108" s="9">
        <v>0.28000000000000003</v>
      </c>
      <c r="P108" s="8">
        <f t="shared" si="26"/>
        <v>2026.0835859504132</v>
      </c>
      <c r="Q108" s="36">
        <f>(M108/1.21-P108)/(M108/1.21)</f>
        <v>0.10097922831580412</v>
      </c>
    </row>
    <row r="109" spans="2:17" ht="15.6" customHeight="1" x14ac:dyDescent="0.25">
      <c r="B109" s="119"/>
      <c r="C109" s="34">
        <v>992.61</v>
      </c>
      <c r="D109" s="32">
        <v>51.61</v>
      </c>
      <c r="E109" s="2">
        <v>1.03</v>
      </c>
      <c r="F109" s="2">
        <v>5.35</v>
      </c>
      <c r="G109" s="2">
        <v>1</v>
      </c>
      <c r="H109" s="2">
        <v>0</v>
      </c>
      <c r="I109" s="2">
        <v>1</v>
      </c>
      <c r="J109" s="2">
        <v>0</v>
      </c>
      <c r="K109" s="6">
        <v>0.18</v>
      </c>
      <c r="L109" s="2">
        <v>175</v>
      </c>
      <c r="M109" s="7">
        <f>(C109+H109)*E109*F109*G109*I109+J109+L109</f>
        <v>5644.7774049999998</v>
      </c>
      <c r="N109" s="8">
        <f>((M109/1.21)-L109)*0.18</f>
        <v>808.21895280991725</v>
      </c>
      <c r="O109" s="9">
        <v>0.28000000000000003</v>
      </c>
      <c r="P109" s="8">
        <f t="shared" si="26"/>
        <v>4192.8964528099177</v>
      </c>
      <c r="Q109" s="36">
        <f>(M109/1.21-P109)/(M109/1.21)</f>
        <v>0.10122147537543141</v>
      </c>
    </row>
    <row r="110" spans="2:17" ht="15.6" customHeight="1" x14ac:dyDescent="0.25">
      <c r="B110" s="119"/>
      <c r="Q110" s="18"/>
    </row>
    <row r="111" spans="2:17" ht="15.6" customHeight="1" x14ac:dyDescent="0.3">
      <c r="B111" s="119"/>
      <c r="C111" s="107" t="s">
        <v>17</v>
      </c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9"/>
    </row>
    <row r="112" spans="2:17" ht="15.6" customHeight="1" x14ac:dyDescent="0.25">
      <c r="B112" s="119"/>
      <c r="C112" s="1" t="s">
        <v>19</v>
      </c>
      <c r="D112" s="32" t="s">
        <v>2</v>
      </c>
      <c r="E112" s="2" t="s">
        <v>3</v>
      </c>
      <c r="F112" s="2" t="s">
        <v>4</v>
      </c>
      <c r="G112" s="2" t="s">
        <v>5</v>
      </c>
      <c r="H112" s="2" t="s">
        <v>6</v>
      </c>
      <c r="I112" s="2" t="s">
        <v>7</v>
      </c>
      <c r="J112" s="2" t="s">
        <v>8</v>
      </c>
      <c r="K112" s="2" t="s">
        <v>9</v>
      </c>
      <c r="L112" s="2" t="s">
        <v>10</v>
      </c>
      <c r="M112" s="2" t="s">
        <v>11</v>
      </c>
      <c r="N112" s="2" t="s">
        <v>12</v>
      </c>
      <c r="O112" s="2" t="s">
        <v>13</v>
      </c>
      <c r="P112" s="2" t="s">
        <v>14</v>
      </c>
      <c r="Q112" s="3" t="s">
        <v>15</v>
      </c>
    </row>
    <row r="113" spans="2:17" ht="15.6" customHeight="1" x14ac:dyDescent="0.25">
      <c r="B113" s="119"/>
      <c r="C113" s="34">
        <v>49.2</v>
      </c>
      <c r="D113" s="32">
        <v>51.61</v>
      </c>
      <c r="E113" s="2">
        <v>1.4</v>
      </c>
      <c r="F113" s="2">
        <v>5.35</v>
      </c>
      <c r="G113" s="2">
        <v>1</v>
      </c>
      <c r="H113" s="2">
        <v>25</v>
      </c>
      <c r="I113" s="2">
        <v>1</v>
      </c>
      <c r="J113" s="2">
        <v>0</v>
      </c>
      <c r="K113" s="6">
        <v>0.18</v>
      </c>
      <c r="L113" s="2">
        <v>110</v>
      </c>
      <c r="M113" s="7">
        <f>(C113+H113)*E113*F113*G113*I113+J113+L113</f>
        <v>665.75799999999992</v>
      </c>
      <c r="N113" s="8">
        <f>((M113/1.21)-L113)*0.18</f>
        <v>79.238380165289257</v>
      </c>
      <c r="O113" s="9">
        <v>0.28000000000000003</v>
      </c>
      <c r="P113" s="8">
        <f>(((1-O113)*C113)/1.23)*F113+(D113*F113)+N113</f>
        <v>509.43188016528921</v>
      </c>
      <c r="Q113" s="36">
        <f>(M113/1.21-P113)/(M113/1.21)</f>
        <v>7.4119161917693896E-2</v>
      </c>
    </row>
    <row r="114" spans="2:17" ht="15.6" customHeight="1" x14ac:dyDescent="0.25">
      <c r="B114" s="119"/>
      <c r="C114" s="34">
        <v>127.92</v>
      </c>
      <c r="D114" s="32">
        <v>51.61</v>
      </c>
      <c r="E114" s="2">
        <v>1.28</v>
      </c>
      <c r="F114" s="2">
        <v>5.35</v>
      </c>
      <c r="G114" s="2">
        <v>1</v>
      </c>
      <c r="H114" s="2">
        <v>0</v>
      </c>
      <c r="I114" s="2">
        <v>1</v>
      </c>
      <c r="J114" s="2">
        <v>0</v>
      </c>
      <c r="K114" s="6">
        <v>0.18</v>
      </c>
      <c r="L114" s="2">
        <v>210</v>
      </c>
      <c r="M114" s="7">
        <f>(C114+H114)*E114*F114*G114*I114+J114+L114</f>
        <v>1085.9961600000001</v>
      </c>
      <c r="N114" s="8">
        <f>((M114/1.21)-L114)*0.18</f>
        <v>123.75314776859506</v>
      </c>
      <c r="O114" s="9">
        <v>0.28000000000000003</v>
      </c>
      <c r="P114" s="8">
        <f t="shared" ref="P114:P117" si="27">(((1-O114)*C114)/1.23)*F114+(D114*F114)+N114</f>
        <v>800.4746477685951</v>
      </c>
      <c r="Q114" s="36">
        <f>(M114/1.21-P114)/(M114/1.21)</f>
        <v>0.10812362006878554</v>
      </c>
    </row>
    <row r="115" spans="2:17" ht="15.6" customHeight="1" x14ac:dyDescent="0.25">
      <c r="B115" s="119"/>
      <c r="C115" s="34">
        <v>238.62</v>
      </c>
      <c r="D115" s="32">
        <v>51.61</v>
      </c>
      <c r="E115" s="2">
        <v>1.17</v>
      </c>
      <c r="F115" s="2">
        <v>5.35</v>
      </c>
      <c r="G115" s="2">
        <v>1</v>
      </c>
      <c r="H115" s="2">
        <v>0</v>
      </c>
      <c r="I115" s="2">
        <v>1</v>
      </c>
      <c r="J115" s="2">
        <v>0</v>
      </c>
      <c r="K115" s="6">
        <v>0.18</v>
      </c>
      <c r="L115" s="2">
        <v>210</v>
      </c>
      <c r="M115" s="7">
        <f>(C115+H115)*E115*F115*G115*I115+J115+L115</f>
        <v>1703.6418899999999</v>
      </c>
      <c r="N115" s="8">
        <f>((M115/1.21)-L115)*0.18</f>
        <v>215.63433074380163</v>
      </c>
      <c r="O115" s="9">
        <v>0.28000000000000003</v>
      </c>
      <c r="P115" s="8">
        <f t="shared" si="27"/>
        <v>1239.0358307438016</v>
      </c>
      <c r="Q115" s="36">
        <f>(M115/1.21-P115)/(M115/1.21)</f>
        <v>0.11998327582799692</v>
      </c>
    </row>
    <row r="116" spans="2:17" ht="15.6" customHeight="1" x14ac:dyDescent="0.25">
      <c r="B116" s="119"/>
      <c r="C116" s="34">
        <v>437.88</v>
      </c>
      <c r="D116" s="32">
        <v>51.61</v>
      </c>
      <c r="E116" s="2">
        <v>1.07</v>
      </c>
      <c r="F116" s="2">
        <v>5.35</v>
      </c>
      <c r="G116" s="2">
        <v>1</v>
      </c>
      <c r="H116" s="2">
        <v>0</v>
      </c>
      <c r="I116" s="2">
        <v>1</v>
      </c>
      <c r="J116" s="2">
        <v>0</v>
      </c>
      <c r="K116" s="6">
        <v>0.18</v>
      </c>
      <c r="L116" s="2">
        <v>375</v>
      </c>
      <c r="M116" s="7">
        <f>(C116+H116)*E116*F116*G116*I116+J116+L116</f>
        <v>2881.6440600000001</v>
      </c>
      <c r="N116" s="8">
        <f>((M116/1.21)-L116)*0.18</f>
        <v>361.17432297520656</v>
      </c>
      <c r="O116" s="9">
        <v>0.28000000000000003</v>
      </c>
      <c r="P116" s="8">
        <f t="shared" si="27"/>
        <v>2008.5998229752063</v>
      </c>
      <c r="Q116" s="36">
        <f>(M116/1.21-P116)/(M116/1.21)</f>
        <v>0.15659056594241566</v>
      </c>
    </row>
    <row r="117" spans="2:17" ht="15.6" customHeight="1" thickBot="1" x14ac:dyDescent="0.3">
      <c r="B117" s="120"/>
      <c r="C117" s="34">
        <v>992.61</v>
      </c>
      <c r="D117" s="32">
        <v>51.61</v>
      </c>
      <c r="E117" s="2">
        <v>1.01</v>
      </c>
      <c r="F117" s="2">
        <v>5.35</v>
      </c>
      <c r="G117" s="2">
        <v>1</v>
      </c>
      <c r="H117" s="2">
        <v>0</v>
      </c>
      <c r="I117" s="2">
        <v>1</v>
      </c>
      <c r="J117" s="2">
        <v>0</v>
      </c>
      <c r="K117" s="6">
        <v>0.18</v>
      </c>
      <c r="L117" s="2">
        <v>690</v>
      </c>
      <c r="M117" s="7">
        <f>(C117+H117)*E117*F117*G117*I117+J117+L117</f>
        <v>6053.5681349999995</v>
      </c>
      <c r="N117" s="8">
        <f>((M117/1.21)-L117)*0.18</f>
        <v>776.3307969421486</v>
      </c>
      <c r="O117" s="9">
        <v>0.28000000000000003</v>
      </c>
      <c r="P117" s="8">
        <f t="shared" si="27"/>
        <v>4161.0082969421492</v>
      </c>
      <c r="Q117" s="36">
        <f>(M117/1.21-P117)/(M117/1.21)</f>
        <v>0.16828886253214675</v>
      </c>
    </row>
    <row r="118" spans="2:17" ht="15.6" customHeight="1" thickBot="1" x14ac:dyDescent="0.3"/>
    <row r="119" spans="2:17" ht="15.6" customHeight="1" x14ac:dyDescent="0.3">
      <c r="B119" s="118" t="s">
        <v>73</v>
      </c>
      <c r="C119" s="106" t="s">
        <v>16</v>
      </c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9"/>
    </row>
    <row r="120" spans="2:17" ht="15.6" customHeight="1" x14ac:dyDescent="0.25">
      <c r="B120" s="119"/>
      <c r="C120" s="1" t="s">
        <v>19</v>
      </c>
      <c r="D120" s="32" t="s">
        <v>2</v>
      </c>
      <c r="E120" s="2" t="s">
        <v>3</v>
      </c>
      <c r="F120" s="2" t="s">
        <v>4</v>
      </c>
      <c r="G120" s="2" t="s">
        <v>5</v>
      </c>
      <c r="H120" s="2" t="s">
        <v>6</v>
      </c>
      <c r="I120" s="2" t="s">
        <v>7</v>
      </c>
      <c r="J120" s="2" t="s">
        <v>8</v>
      </c>
      <c r="K120" s="2" t="s">
        <v>9</v>
      </c>
      <c r="L120" s="2" t="s">
        <v>10</v>
      </c>
      <c r="M120" s="2" t="s">
        <v>11</v>
      </c>
      <c r="N120" s="2" t="s">
        <v>12</v>
      </c>
      <c r="O120" s="2" t="s">
        <v>13</v>
      </c>
      <c r="P120" s="2" t="s">
        <v>14</v>
      </c>
      <c r="Q120" s="3" t="s">
        <v>15</v>
      </c>
    </row>
    <row r="121" spans="2:17" ht="15.6" customHeight="1" x14ac:dyDescent="0.25">
      <c r="B121" s="119"/>
      <c r="C121" s="34">
        <v>49.2</v>
      </c>
      <c r="D121" s="32">
        <v>78.86</v>
      </c>
      <c r="E121" s="2">
        <v>1.1200000000000001</v>
      </c>
      <c r="F121" s="2">
        <v>5.35</v>
      </c>
      <c r="G121" s="2">
        <v>1</v>
      </c>
      <c r="H121" s="2">
        <v>29</v>
      </c>
      <c r="I121" s="2">
        <v>1</v>
      </c>
      <c r="J121" s="2">
        <v>0</v>
      </c>
      <c r="K121" s="6">
        <v>0.18</v>
      </c>
      <c r="L121" s="2">
        <f>150+210</f>
        <v>360</v>
      </c>
      <c r="M121" s="7">
        <f>(C121+H121)*E121*F121*G121*I121+J121+L121</f>
        <v>828.57440000000008</v>
      </c>
      <c r="N121" s="8">
        <f>((M121/1.21)-L121)*0.18</f>
        <v>58.459001652892582</v>
      </c>
      <c r="O121" s="9">
        <v>0.28000000000000003</v>
      </c>
      <c r="P121" s="8">
        <f>(((1-O121)*C121)/1.23)*F121+(D121*F121)+N121</f>
        <v>634.44000165289253</v>
      </c>
      <c r="Q121" s="36">
        <f>(M121/1.21-P121)/(M121/1.21)</f>
        <v>7.3502147785401262E-2</v>
      </c>
    </row>
    <row r="122" spans="2:17" ht="15.6" customHeight="1" x14ac:dyDescent="0.25">
      <c r="B122" s="119"/>
      <c r="C122" s="34">
        <v>127.92</v>
      </c>
      <c r="D122" s="32">
        <v>78.86</v>
      </c>
      <c r="E122" s="2">
        <v>1.1000000000000001</v>
      </c>
      <c r="F122" s="2">
        <v>5.35</v>
      </c>
      <c r="G122" s="2">
        <v>1</v>
      </c>
      <c r="H122" s="2">
        <v>20</v>
      </c>
      <c r="I122" s="2">
        <v>1</v>
      </c>
      <c r="J122" s="2">
        <v>0</v>
      </c>
      <c r="K122" s="6">
        <v>0.18</v>
      </c>
      <c r="L122" s="2">
        <f>150+210</f>
        <v>360</v>
      </c>
      <c r="M122" s="7">
        <f>(C122+H122)*E122*F122*G122*I122+J122+L122</f>
        <v>1230.5092</v>
      </c>
      <c r="N122" s="8">
        <f>((M122/1.21)-L122)*0.18</f>
        <v>118.25095537190083</v>
      </c>
      <c r="O122" s="9">
        <v>0.28000000000000003</v>
      </c>
      <c r="P122" s="8">
        <f t="shared" ref="P122:P125" si="28">(((1-O122)*C122)/1.23)*F122+(D122*F122)+N122</f>
        <v>940.75995537190079</v>
      </c>
      <c r="Q122" s="36">
        <f>(M122/1.21-P122)/(M122/1.21)</f>
        <v>7.4919922581643483E-2</v>
      </c>
    </row>
    <row r="123" spans="2:17" ht="15.6" customHeight="1" x14ac:dyDescent="0.25">
      <c r="B123" s="119"/>
      <c r="C123" s="34">
        <v>238.62</v>
      </c>
      <c r="D123" s="32">
        <v>78.86</v>
      </c>
      <c r="E123" s="2">
        <v>1.0900000000000001</v>
      </c>
      <c r="F123" s="2">
        <v>5.35</v>
      </c>
      <c r="G123" s="2">
        <v>1</v>
      </c>
      <c r="H123" s="2">
        <v>10</v>
      </c>
      <c r="I123" s="2">
        <v>1</v>
      </c>
      <c r="J123" s="2">
        <v>0</v>
      </c>
      <c r="K123" s="6">
        <v>0.18</v>
      </c>
      <c r="L123" s="2">
        <f>150+210</f>
        <v>360</v>
      </c>
      <c r="M123" s="7">
        <f>(C123+H123)*E123*F123*G123*I123+J123+L123</f>
        <v>1809.82753</v>
      </c>
      <c r="N123" s="8">
        <f>((M123/1.21)-L123)*0.18</f>
        <v>204.43054165289257</v>
      </c>
      <c r="O123" s="9">
        <v>0.28000000000000003</v>
      </c>
      <c r="P123" s="8">
        <f t="shared" si="28"/>
        <v>1373.6195416528924</v>
      </c>
      <c r="Q123" s="36">
        <f>(M123/1.21-P123)/(M123/1.21)</f>
        <v>8.1636444440648062E-2</v>
      </c>
    </row>
    <row r="124" spans="2:17" ht="15.6" customHeight="1" x14ac:dyDescent="0.25">
      <c r="B124" s="119"/>
      <c r="C124" s="34">
        <v>437.88</v>
      </c>
      <c r="D124" s="32">
        <v>78.86</v>
      </c>
      <c r="E124" s="2">
        <v>1.1000000000000001</v>
      </c>
      <c r="F124" s="2">
        <v>5.35</v>
      </c>
      <c r="G124" s="2">
        <v>1</v>
      </c>
      <c r="H124" s="2">
        <v>0</v>
      </c>
      <c r="I124" s="2">
        <v>1</v>
      </c>
      <c r="J124" s="2">
        <v>0</v>
      </c>
      <c r="K124" s="6">
        <v>0.18</v>
      </c>
      <c r="L124" s="2">
        <f>150+270</f>
        <v>420</v>
      </c>
      <c r="M124" s="7">
        <f>(C124+H124)*E124*F124*G124*I124+J124+L124</f>
        <v>2996.9238</v>
      </c>
      <c r="N124" s="8">
        <f>((M124/1.21)-L124)*0.18</f>
        <v>370.22337520661159</v>
      </c>
      <c r="O124" s="9">
        <v>0.28000000000000003</v>
      </c>
      <c r="P124" s="8">
        <f t="shared" si="28"/>
        <v>2163.4363752066115</v>
      </c>
      <c r="Q124" s="36">
        <f>(M124/1.21-P124)/(M124/1.21)</f>
        <v>0.12651832722607101</v>
      </c>
    </row>
    <row r="125" spans="2:17" ht="15.6" customHeight="1" x14ac:dyDescent="0.25">
      <c r="B125" s="119"/>
      <c r="C125" s="34">
        <v>992.61</v>
      </c>
      <c r="D125" s="32">
        <v>78.86</v>
      </c>
      <c r="E125" s="2">
        <v>1.03</v>
      </c>
      <c r="F125" s="2">
        <v>5.35</v>
      </c>
      <c r="G125" s="2">
        <v>1</v>
      </c>
      <c r="H125" s="2">
        <v>0</v>
      </c>
      <c r="I125" s="2">
        <v>1</v>
      </c>
      <c r="J125" s="2">
        <v>0</v>
      </c>
      <c r="K125" s="6">
        <v>0.18</v>
      </c>
      <c r="L125" s="2">
        <f>150+620</f>
        <v>770</v>
      </c>
      <c r="M125" s="7">
        <f>(C125+H125)*E125*F125*G125*I125+J125+L125</f>
        <v>6239.7774049999998</v>
      </c>
      <c r="N125" s="8">
        <f>((M125/1.21)-L125)*0.18</f>
        <v>789.63134950413223</v>
      </c>
      <c r="O125" s="9">
        <v>0.28000000000000003</v>
      </c>
      <c r="P125" s="8">
        <f t="shared" si="28"/>
        <v>4320.0963495041324</v>
      </c>
      <c r="Q125" s="36">
        <f>(M125/1.21-P125)/(M125/1.21)</f>
        <v>0.16225912502723322</v>
      </c>
    </row>
    <row r="126" spans="2:17" ht="15.6" customHeight="1" x14ac:dyDescent="0.25">
      <c r="B126" s="119"/>
      <c r="Q126" s="18"/>
    </row>
    <row r="127" spans="2:17" ht="15.6" customHeight="1" x14ac:dyDescent="0.3">
      <c r="B127" s="119"/>
      <c r="C127" s="107" t="s">
        <v>17</v>
      </c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9"/>
    </row>
    <row r="128" spans="2:17" ht="15.6" customHeight="1" x14ac:dyDescent="0.25">
      <c r="B128" s="119"/>
      <c r="C128" s="1" t="s">
        <v>19</v>
      </c>
      <c r="D128" s="32" t="s">
        <v>2</v>
      </c>
      <c r="E128" s="2" t="s">
        <v>3</v>
      </c>
      <c r="F128" s="2" t="s">
        <v>4</v>
      </c>
      <c r="G128" s="2" t="s">
        <v>5</v>
      </c>
      <c r="H128" s="2" t="s">
        <v>6</v>
      </c>
      <c r="I128" s="2" t="s">
        <v>7</v>
      </c>
      <c r="J128" s="2" t="s">
        <v>8</v>
      </c>
      <c r="K128" s="2" t="s">
        <v>9</v>
      </c>
      <c r="L128" s="2" t="s">
        <v>10</v>
      </c>
      <c r="M128" s="2" t="s">
        <v>11</v>
      </c>
      <c r="N128" s="2" t="s">
        <v>12</v>
      </c>
      <c r="O128" s="2" t="s">
        <v>13</v>
      </c>
      <c r="P128" s="2" t="s">
        <v>14</v>
      </c>
      <c r="Q128" s="3" t="s">
        <v>15</v>
      </c>
    </row>
    <row r="129" spans="2:17" ht="15.6" customHeight="1" x14ac:dyDescent="0.25">
      <c r="B129" s="119"/>
      <c r="C129" s="34">
        <v>49.2</v>
      </c>
      <c r="D129" s="32">
        <v>78.86</v>
      </c>
      <c r="E129" s="2">
        <v>1.4</v>
      </c>
      <c r="F129" s="2">
        <v>5.35</v>
      </c>
      <c r="G129" s="2">
        <v>1</v>
      </c>
      <c r="H129" s="2">
        <v>25</v>
      </c>
      <c r="I129" s="2">
        <v>1</v>
      </c>
      <c r="J129" s="2">
        <v>0</v>
      </c>
      <c r="K129" s="6">
        <v>0.18</v>
      </c>
      <c r="L129" s="2">
        <f>110+360</f>
        <v>470</v>
      </c>
      <c r="M129" s="7">
        <f>(C129+H129)*E129*F129*G129*I129+J129+L129</f>
        <v>1025.7579999999998</v>
      </c>
      <c r="N129" s="8">
        <f>((M129/1.21)-L129)*0.18</f>
        <v>67.992099173553683</v>
      </c>
      <c r="O129" s="9">
        <v>0.28000000000000003</v>
      </c>
      <c r="P129" s="8">
        <f>(((1-O129)*C129)/1.23)*F129+(D129*F129)+N129</f>
        <v>643.97309917355369</v>
      </c>
      <c r="Q129" s="36">
        <f>(M129/1.21-P129)/(M129/1.21)</f>
        <v>0.24035937326347917</v>
      </c>
    </row>
    <row r="130" spans="2:17" ht="15.6" customHeight="1" x14ac:dyDescent="0.25">
      <c r="B130" s="119"/>
      <c r="C130" s="34">
        <v>127.92</v>
      </c>
      <c r="D130" s="32">
        <v>78.86</v>
      </c>
      <c r="E130" s="2">
        <v>1.28</v>
      </c>
      <c r="F130" s="2">
        <v>5.35</v>
      </c>
      <c r="G130" s="2">
        <v>1</v>
      </c>
      <c r="H130" s="2">
        <v>0</v>
      </c>
      <c r="I130" s="2">
        <v>1</v>
      </c>
      <c r="J130" s="2">
        <v>0</v>
      </c>
      <c r="K130" s="6">
        <v>0.18</v>
      </c>
      <c r="L130" s="2">
        <f>210+360</f>
        <v>570</v>
      </c>
      <c r="M130" s="7">
        <f>(C130+H130)*E130*F130*G130*I130+J130+L130</f>
        <v>1445.9961600000001</v>
      </c>
      <c r="N130" s="8">
        <f>((M130/1.21)-L130)*0.18</f>
        <v>112.50686677685955</v>
      </c>
      <c r="O130" s="9">
        <v>0.28000000000000003</v>
      </c>
      <c r="P130" s="8">
        <f t="shared" ref="P130:P133" si="29">(((1-O130)*C130)/1.23)*F130+(D130*F130)+N130</f>
        <v>935.01586677685953</v>
      </c>
      <c r="Q130" s="36">
        <f>(M130/1.21-P130)/(M130/1.21)</f>
        <v>0.21758492166396917</v>
      </c>
    </row>
    <row r="131" spans="2:17" ht="15.6" customHeight="1" x14ac:dyDescent="0.25">
      <c r="B131" s="119"/>
      <c r="C131" s="34">
        <v>238.62</v>
      </c>
      <c r="D131" s="32">
        <v>78.86</v>
      </c>
      <c r="E131" s="2">
        <v>1.17</v>
      </c>
      <c r="F131" s="2">
        <v>5.35</v>
      </c>
      <c r="G131" s="2">
        <v>1</v>
      </c>
      <c r="H131" s="2">
        <v>0</v>
      </c>
      <c r="I131" s="2">
        <v>1</v>
      </c>
      <c r="J131" s="2">
        <v>0</v>
      </c>
      <c r="K131" s="6">
        <v>0.18</v>
      </c>
      <c r="L131" s="2">
        <f>210+360</f>
        <v>570</v>
      </c>
      <c r="M131" s="7">
        <f>(C131+H131)*E131*F131*G131*I131+J131+L131</f>
        <v>2063.6418899999999</v>
      </c>
      <c r="N131" s="8">
        <f>((M131/1.21)-L131)*0.18</f>
        <v>204.38804975206608</v>
      </c>
      <c r="O131" s="9">
        <v>0.28000000000000003</v>
      </c>
      <c r="P131" s="8">
        <f t="shared" si="29"/>
        <v>1373.5770497520659</v>
      </c>
      <c r="Q131" s="36">
        <f>(M131/1.21-P131)/(M131/1.21)</f>
        <v>0.19461402763054017</v>
      </c>
    </row>
    <row r="132" spans="2:17" ht="15.6" customHeight="1" x14ac:dyDescent="0.25">
      <c r="B132" s="119"/>
      <c r="C132" s="34">
        <v>437.88</v>
      </c>
      <c r="D132" s="32">
        <v>78.86</v>
      </c>
      <c r="E132" s="2">
        <v>1.07</v>
      </c>
      <c r="F132" s="2">
        <v>5.35</v>
      </c>
      <c r="G132" s="2">
        <v>1</v>
      </c>
      <c r="H132" s="2">
        <v>0</v>
      </c>
      <c r="I132" s="2">
        <v>1</v>
      </c>
      <c r="J132" s="2">
        <v>0</v>
      </c>
      <c r="K132" s="6">
        <v>0.18</v>
      </c>
      <c r="L132" s="2">
        <f>375+420</f>
        <v>795</v>
      </c>
      <c r="M132" s="7">
        <f>(C132+H132)*E132*F132*G132*I132+J132+L132</f>
        <v>3301.6440600000001</v>
      </c>
      <c r="N132" s="8">
        <f>((M132/1.21)-L132)*0.18</f>
        <v>348.05366181818187</v>
      </c>
      <c r="O132" s="9">
        <v>0.28000000000000003</v>
      </c>
      <c r="P132" s="8">
        <f t="shared" si="29"/>
        <v>2141.2666618181815</v>
      </c>
      <c r="Q132" s="36">
        <f>(M132/1.21-P132)/(M132/1.21)</f>
        <v>0.21525984821028846</v>
      </c>
    </row>
    <row r="133" spans="2:17" ht="15.6" customHeight="1" thickBot="1" x14ac:dyDescent="0.3">
      <c r="B133" s="120"/>
      <c r="C133" s="34">
        <v>992.61</v>
      </c>
      <c r="D133" s="32">
        <v>78.86</v>
      </c>
      <c r="E133" s="2">
        <v>1.01</v>
      </c>
      <c r="F133" s="2">
        <v>5.35</v>
      </c>
      <c r="G133" s="2">
        <v>1</v>
      </c>
      <c r="H133" s="2">
        <v>0</v>
      </c>
      <c r="I133" s="2">
        <v>1</v>
      </c>
      <c r="J133" s="2">
        <v>0</v>
      </c>
      <c r="K133" s="6">
        <v>0.18</v>
      </c>
      <c r="L133" s="2">
        <f>690+780</f>
        <v>1470</v>
      </c>
      <c r="M133" s="7">
        <f>(C133+H133)*E133*F133*G133*I133+J133+L133</f>
        <v>6833.5681349999995</v>
      </c>
      <c r="N133" s="8">
        <f>((M133/1.21)-L133)*0.18</f>
        <v>751.96385479338835</v>
      </c>
      <c r="O133" s="9">
        <v>0.28000000000000003</v>
      </c>
      <c r="P133" s="8">
        <f t="shared" si="29"/>
        <v>4282.4288547933884</v>
      </c>
      <c r="Q133" s="36">
        <f>(M133/1.21-P133)/(M133/1.21)</f>
        <v>0.24172279957811524</v>
      </c>
    </row>
    <row r="135" spans="2:17" ht="15.6" customHeight="1" thickBot="1" x14ac:dyDescent="0.3"/>
    <row r="136" spans="2:17" ht="15.6" customHeight="1" x14ac:dyDescent="0.3">
      <c r="B136" s="118" t="s">
        <v>74</v>
      </c>
      <c r="C136" s="106" t="s">
        <v>16</v>
      </c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9"/>
    </row>
    <row r="137" spans="2:17" ht="15.6" customHeight="1" x14ac:dyDescent="0.25">
      <c r="B137" s="119"/>
      <c r="C137" s="1" t="s">
        <v>19</v>
      </c>
      <c r="D137" s="32" t="s">
        <v>2</v>
      </c>
      <c r="E137" s="2" t="s">
        <v>3</v>
      </c>
      <c r="F137" s="2" t="s">
        <v>4</v>
      </c>
      <c r="G137" s="2" t="s">
        <v>5</v>
      </c>
      <c r="H137" s="2" t="s">
        <v>6</v>
      </c>
      <c r="I137" s="2" t="s">
        <v>7</v>
      </c>
      <c r="J137" s="2" t="s">
        <v>8</v>
      </c>
      <c r="K137" s="2" t="s">
        <v>9</v>
      </c>
      <c r="L137" s="2" t="s">
        <v>10</v>
      </c>
      <c r="M137" s="2" t="s">
        <v>11</v>
      </c>
      <c r="N137" s="2" t="s">
        <v>12</v>
      </c>
      <c r="O137" s="2" t="s">
        <v>13</v>
      </c>
      <c r="P137" s="2" t="s">
        <v>14</v>
      </c>
      <c r="Q137" s="3" t="s">
        <v>15</v>
      </c>
    </row>
    <row r="138" spans="2:17" ht="15.6" customHeight="1" x14ac:dyDescent="0.25">
      <c r="B138" s="119"/>
      <c r="C138" s="34">
        <v>36</v>
      </c>
      <c r="D138" s="32">
        <v>31.81</v>
      </c>
      <c r="E138" s="2">
        <v>0.99</v>
      </c>
      <c r="F138" s="2">
        <v>5.35</v>
      </c>
      <c r="G138" s="2">
        <v>1</v>
      </c>
      <c r="H138" s="2">
        <v>30</v>
      </c>
      <c r="I138" s="2">
        <v>1</v>
      </c>
      <c r="J138" s="2">
        <v>0</v>
      </c>
      <c r="K138" s="6">
        <v>0.18</v>
      </c>
      <c r="L138" s="2">
        <v>0</v>
      </c>
      <c r="M138" s="7">
        <f>(C138+H138)*E138*F138*G138*I138+J138</f>
        <v>349.56900000000002</v>
      </c>
      <c r="N138" s="8">
        <f>(M138/1.21)*0.18</f>
        <v>52.002000000000002</v>
      </c>
      <c r="O138" s="9">
        <v>0.25</v>
      </c>
      <c r="P138" s="8">
        <f>(((1-O138)*C138)/1.23)*F138+(D138*F138)+N138</f>
        <v>339.62452439024389</v>
      </c>
      <c r="Q138" s="36">
        <f>(M138/1.21-P138)/(M138/1.21)</f>
        <v>-0.17557813911472431</v>
      </c>
    </row>
    <row r="139" spans="2:17" ht="15.6" customHeight="1" x14ac:dyDescent="0.25">
      <c r="B139" s="119"/>
      <c r="C139" s="34">
        <v>179</v>
      </c>
      <c r="D139" s="32">
        <v>31.81</v>
      </c>
      <c r="E139" s="2">
        <v>1.02</v>
      </c>
      <c r="F139" s="2">
        <v>5.35</v>
      </c>
      <c r="G139" s="2">
        <v>1</v>
      </c>
      <c r="H139" s="2">
        <v>30</v>
      </c>
      <c r="I139" s="2">
        <v>1</v>
      </c>
      <c r="J139" s="2">
        <v>0</v>
      </c>
      <c r="K139" s="6">
        <v>0.18</v>
      </c>
      <c r="L139" s="2">
        <v>0</v>
      </c>
      <c r="M139" s="7">
        <f t="shared" ref="M139:M142" si="30">(C139+H139)*E139*F139*G139*I139+J139</f>
        <v>1140.5129999999999</v>
      </c>
      <c r="N139" s="8">
        <f t="shared" ref="N139:N142" si="31">(M139/1.21)*0.18</f>
        <v>169.6630909090909</v>
      </c>
      <c r="O139" s="9">
        <v>0.25</v>
      </c>
      <c r="P139" s="8">
        <f t="shared" ref="P139:P142" si="32">(((1-O139)*C139)/1.23)*F139+(D139*F139)+N139</f>
        <v>923.77951773835912</v>
      </c>
      <c r="Q139" s="36">
        <f>(M139/1.21-P139)/(M139/1.21)</f>
        <v>1.9938206348007772E-2</v>
      </c>
    </row>
    <row r="140" spans="2:17" ht="15.6" customHeight="1" x14ac:dyDescent="0.25">
      <c r="B140" s="119"/>
      <c r="C140" s="34">
        <v>269</v>
      </c>
      <c r="D140" s="32">
        <v>31.81</v>
      </c>
      <c r="E140" s="2">
        <v>1.0900000000000001</v>
      </c>
      <c r="F140" s="2">
        <v>5.35</v>
      </c>
      <c r="G140" s="2">
        <v>1</v>
      </c>
      <c r="H140" s="2">
        <v>29</v>
      </c>
      <c r="I140" s="2">
        <v>1</v>
      </c>
      <c r="J140" s="2">
        <v>0</v>
      </c>
      <c r="K140" s="6">
        <v>0.18</v>
      </c>
      <c r="L140" s="2">
        <v>0</v>
      </c>
      <c r="M140" s="7">
        <f t="shared" si="30"/>
        <v>1737.7870000000003</v>
      </c>
      <c r="N140" s="8">
        <f t="shared" si="31"/>
        <v>258.51376859504137</v>
      </c>
      <c r="O140" s="9">
        <v>0.25</v>
      </c>
      <c r="P140" s="8">
        <f t="shared" si="32"/>
        <v>1306.2277563999191</v>
      </c>
      <c r="Q140" s="36">
        <f>(M140/1.21-P140)/(M140/1.21)</f>
        <v>9.0489464333717615E-2</v>
      </c>
    </row>
    <row r="141" spans="2:17" ht="15.6" customHeight="1" x14ac:dyDescent="0.25">
      <c r="B141" s="119"/>
      <c r="C141" s="34">
        <v>769</v>
      </c>
      <c r="D141" s="32">
        <v>31.81</v>
      </c>
      <c r="E141" s="2">
        <v>1.05</v>
      </c>
      <c r="F141" s="2">
        <v>5.35</v>
      </c>
      <c r="G141" s="2">
        <v>1</v>
      </c>
      <c r="H141" s="2">
        <v>29</v>
      </c>
      <c r="I141" s="2">
        <v>1</v>
      </c>
      <c r="J141" s="2">
        <v>0</v>
      </c>
      <c r="K141" s="6">
        <v>0.18</v>
      </c>
      <c r="L141" s="2">
        <v>0</v>
      </c>
      <c r="M141" s="7">
        <f t="shared" si="30"/>
        <v>4482.7650000000003</v>
      </c>
      <c r="N141" s="8">
        <f t="shared" si="31"/>
        <v>666.85760330578523</v>
      </c>
      <c r="O141" s="9">
        <v>0.25</v>
      </c>
      <c r="P141" s="8">
        <f t="shared" si="32"/>
        <v>3345.6691520862732</v>
      </c>
      <c r="Q141" s="36">
        <f>(M141/1.21-P141)/(M141/1.21)</f>
        <v>9.6927973243212603E-2</v>
      </c>
    </row>
    <row r="142" spans="2:17" ht="15.6" customHeight="1" x14ac:dyDescent="0.25">
      <c r="B142" s="119"/>
      <c r="C142" s="34">
        <v>1999</v>
      </c>
      <c r="D142" s="32">
        <v>31.81</v>
      </c>
      <c r="E142" s="2">
        <v>1.04</v>
      </c>
      <c r="F142" s="2">
        <v>5.35</v>
      </c>
      <c r="G142" s="2">
        <v>1</v>
      </c>
      <c r="H142" s="2">
        <v>29</v>
      </c>
      <c r="I142" s="2">
        <v>1</v>
      </c>
      <c r="J142" s="2">
        <v>0</v>
      </c>
      <c r="K142" s="6">
        <v>0.18</v>
      </c>
      <c r="L142" s="2">
        <v>0</v>
      </c>
      <c r="M142" s="7">
        <f t="shared" si="30"/>
        <v>11283.791999999999</v>
      </c>
      <c r="N142" s="8">
        <f t="shared" si="31"/>
        <v>1678.5806280991735</v>
      </c>
      <c r="O142" s="9">
        <v>0.25</v>
      </c>
      <c r="P142" s="8">
        <f t="shared" si="32"/>
        <v>8369.8921768796608</v>
      </c>
      <c r="Q142" s="36">
        <f>(M142/1.21-P142)/(M142/1.21)</f>
        <v>0.10246754512805717</v>
      </c>
    </row>
    <row r="143" spans="2:17" ht="15.6" customHeight="1" x14ac:dyDescent="0.25">
      <c r="B143" s="119"/>
      <c r="Q143" s="18"/>
    </row>
    <row r="144" spans="2:17" ht="15.6" customHeight="1" x14ac:dyDescent="0.3">
      <c r="B144" s="119"/>
      <c r="C144" s="107" t="s">
        <v>17</v>
      </c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9"/>
    </row>
    <row r="145" spans="2:17" ht="15.6" customHeight="1" x14ac:dyDescent="0.25">
      <c r="B145" s="119"/>
      <c r="C145" s="1" t="s">
        <v>19</v>
      </c>
      <c r="D145" s="3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2" t="s">
        <v>8</v>
      </c>
      <c r="K145" s="2" t="s">
        <v>9</v>
      </c>
      <c r="L145" s="2" t="s">
        <v>10</v>
      </c>
      <c r="M145" s="2" t="s">
        <v>11</v>
      </c>
      <c r="N145" s="2" t="s">
        <v>12</v>
      </c>
      <c r="O145" s="2" t="s">
        <v>13</v>
      </c>
      <c r="P145" s="2" t="s">
        <v>14</v>
      </c>
      <c r="Q145" s="3" t="s">
        <v>15</v>
      </c>
    </row>
    <row r="146" spans="2:17" ht="15.6" customHeight="1" x14ac:dyDescent="0.25">
      <c r="B146" s="119"/>
      <c r="C146" s="34">
        <v>36</v>
      </c>
      <c r="D146" s="32">
        <v>22.31</v>
      </c>
      <c r="E146" s="2">
        <v>0.95</v>
      </c>
      <c r="F146" s="2">
        <v>5.35</v>
      </c>
      <c r="G146" s="2">
        <v>1</v>
      </c>
      <c r="H146" s="2">
        <v>20</v>
      </c>
      <c r="I146" s="2">
        <v>1</v>
      </c>
      <c r="J146" s="2">
        <v>0</v>
      </c>
      <c r="K146" s="6">
        <v>0.18</v>
      </c>
      <c r="L146" s="2">
        <v>49</v>
      </c>
      <c r="M146" s="7">
        <f>(C146+H146)*E146*F146*G146*I146+J146</f>
        <v>284.61999999999995</v>
      </c>
      <c r="N146" s="8">
        <f>((M146/1.21))*0.18</f>
        <v>42.340165289256191</v>
      </c>
      <c r="O146" s="9">
        <v>0.25</v>
      </c>
      <c r="P146" s="8">
        <f>(((1-O146)*C146)/1.23)*F146+(D146*F146)+N146</f>
        <v>279.13768967950011</v>
      </c>
      <c r="Q146" s="36">
        <f>(M146/1.21-P146)/(M146/1.21)</f>
        <v>-0.18669315055932534</v>
      </c>
    </row>
    <row r="147" spans="2:17" ht="15.6" customHeight="1" x14ac:dyDescent="0.25">
      <c r="B147" s="119"/>
      <c r="C147" s="34">
        <v>179</v>
      </c>
      <c r="D147" s="32">
        <v>22.31</v>
      </c>
      <c r="E147" s="2">
        <v>1.01</v>
      </c>
      <c r="F147" s="2">
        <v>5.35</v>
      </c>
      <c r="G147" s="2">
        <v>1</v>
      </c>
      <c r="H147" s="2">
        <v>20</v>
      </c>
      <c r="I147" s="2">
        <v>1</v>
      </c>
      <c r="J147" s="2">
        <v>0</v>
      </c>
      <c r="K147" s="6">
        <v>0.18</v>
      </c>
      <c r="L147" s="2">
        <v>49</v>
      </c>
      <c r="M147" s="7">
        <f t="shared" ref="M147:M150" si="33">(C147+H147)*E147*F147*G147*I147+J147</f>
        <v>1075.2964999999999</v>
      </c>
      <c r="N147" s="8">
        <f t="shared" ref="N147:N150" si="34">((M147/1.21))*0.18</f>
        <v>159.96146280991735</v>
      </c>
      <c r="O147" s="9">
        <v>0.25</v>
      </c>
      <c r="P147" s="8">
        <f t="shared" ref="P147:P150" si="35">(((1-O147)*C147)/1.23)*F147+(D147*F147)+N147</f>
        <v>863.25288963918547</v>
      </c>
      <c r="Q147" s="36">
        <f>(M147/1.21-P147)/(M147/1.21)</f>
        <v>2.860653181386304E-2</v>
      </c>
    </row>
    <row r="148" spans="2:17" ht="15.6" customHeight="1" x14ac:dyDescent="0.25">
      <c r="B148" s="119"/>
      <c r="C148" s="34">
        <v>269</v>
      </c>
      <c r="D148" s="32">
        <v>22.31</v>
      </c>
      <c r="E148" s="2">
        <v>1.1299999999999999</v>
      </c>
      <c r="F148" s="2">
        <v>5.35</v>
      </c>
      <c r="G148" s="2">
        <v>1</v>
      </c>
      <c r="H148" s="2">
        <v>0</v>
      </c>
      <c r="I148" s="2">
        <v>1</v>
      </c>
      <c r="J148" s="2">
        <v>0</v>
      </c>
      <c r="K148" s="6">
        <v>0.18</v>
      </c>
      <c r="L148" s="2">
        <v>49</v>
      </c>
      <c r="M148" s="7">
        <f t="shared" si="33"/>
        <v>1626.2394999999997</v>
      </c>
      <c r="N148" s="8">
        <f t="shared" si="34"/>
        <v>241.91992561983469</v>
      </c>
      <c r="O148" s="9">
        <v>0.25</v>
      </c>
      <c r="P148" s="8">
        <f t="shared" si="35"/>
        <v>1238.8089134247127</v>
      </c>
      <c r="Q148" s="36">
        <f>(M148/1.21-P148)/(M148/1.21)</f>
        <v>7.8266894117439312E-2</v>
      </c>
    </row>
    <row r="149" spans="2:17" ht="15.6" customHeight="1" x14ac:dyDescent="0.25">
      <c r="B149" s="119"/>
      <c r="C149" s="34">
        <v>769</v>
      </c>
      <c r="D149" s="32">
        <v>22.31</v>
      </c>
      <c r="E149" s="2">
        <v>1.1499999999999999</v>
      </c>
      <c r="F149" s="2">
        <v>5.35</v>
      </c>
      <c r="G149" s="2">
        <v>1</v>
      </c>
      <c r="H149" s="2">
        <v>0</v>
      </c>
      <c r="I149" s="2">
        <v>1</v>
      </c>
      <c r="J149" s="2">
        <v>0</v>
      </c>
      <c r="K149" s="6">
        <v>0.18</v>
      </c>
      <c r="L149" s="2">
        <v>49</v>
      </c>
      <c r="M149" s="7">
        <f t="shared" si="33"/>
        <v>4731.2724999999991</v>
      </c>
      <c r="N149" s="8">
        <f t="shared" si="34"/>
        <v>703.82566115702468</v>
      </c>
      <c r="O149" s="9">
        <v>0.25</v>
      </c>
      <c r="P149" s="8">
        <f t="shared" si="35"/>
        <v>3331.8122099375123</v>
      </c>
      <c r="Q149" s="36">
        <f>(M149/1.21-P149)/(M149/1.21)</f>
        <v>0.14790518321986515</v>
      </c>
    </row>
    <row r="150" spans="2:17" ht="15.6" customHeight="1" thickBot="1" x14ac:dyDescent="0.3">
      <c r="B150" s="120"/>
      <c r="C150" s="34">
        <v>1999</v>
      </c>
      <c r="D150" s="32">
        <v>22.31</v>
      </c>
      <c r="E150" s="2">
        <v>1</v>
      </c>
      <c r="F150" s="2">
        <v>5.35</v>
      </c>
      <c r="G150" s="2">
        <v>1</v>
      </c>
      <c r="H150" s="2">
        <v>0</v>
      </c>
      <c r="I150" s="2">
        <v>1</v>
      </c>
      <c r="J150" s="2">
        <v>0</v>
      </c>
      <c r="K150" s="6">
        <v>0.18</v>
      </c>
      <c r="L150" s="2">
        <v>49</v>
      </c>
      <c r="M150" s="7">
        <f t="shared" si="33"/>
        <v>10694.65</v>
      </c>
      <c r="N150" s="8">
        <f t="shared" si="34"/>
        <v>1590.9396694214877</v>
      </c>
      <c r="O150" s="9">
        <v>0.25</v>
      </c>
      <c r="P150" s="8">
        <f t="shared" si="35"/>
        <v>8231.4262182019756</v>
      </c>
      <c r="Q150" s="36">
        <f>(M150/1.21-P150)/(M150/1.21)</f>
        <v>6.8690819800144007E-2</v>
      </c>
    </row>
    <row r="151" spans="2:17" ht="15.6" customHeight="1" thickBot="1" x14ac:dyDescent="0.3"/>
    <row r="152" spans="2:17" ht="15.6" customHeight="1" x14ac:dyDescent="0.3">
      <c r="B152" s="103" t="s">
        <v>75</v>
      </c>
      <c r="C152" s="106" t="s">
        <v>16</v>
      </c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9"/>
    </row>
    <row r="153" spans="2:17" ht="15.6" customHeight="1" x14ac:dyDescent="0.25">
      <c r="B153" s="104"/>
      <c r="C153" s="1" t="s">
        <v>19</v>
      </c>
      <c r="D153" s="32" t="s">
        <v>2</v>
      </c>
      <c r="E153" s="2" t="s">
        <v>3</v>
      </c>
      <c r="F153" s="2" t="s">
        <v>4</v>
      </c>
      <c r="G153" s="2" t="s">
        <v>5</v>
      </c>
      <c r="H153" s="2" t="s">
        <v>6</v>
      </c>
      <c r="I153" s="2" t="s">
        <v>7</v>
      </c>
      <c r="J153" s="2" t="s">
        <v>8</v>
      </c>
      <c r="K153" s="2" t="s">
        <v>9</v>
      </c>
      <c r="L153" s="2" t="s">
        <v>10</v>
      </c>
      <c r="M153" s="2" t="s">
        <v>11</v>
      </c>
      <c r="N153" s="2" t="s">
        <v>12</v>
      </c>
      <c r="O153" s="2" t="s">
        <v>13</v>
      </c>
      <c r="P153" s="2" t="s">
        <v>14</v>
      </c>
      <c r="Q153" s="3" t="s">
        <v>15</v>
      </c>
    </row>
    <row r="154" spans="2:17" ht="15.6" customHeight="1" x14ac:dyDescent="0.25">
      <c r="B154" s="104"/>
      <c r="C154" s="34">
        <v>36</v>
      </c>
      <c r="D154" s="32">
        <v>53.33</v>
      </c>
      <c r="E154" s="2">
        <v>0.99</v>
      </c>
      <c r="F154" s="2">
        <v>5.35</v>
      </c>
      <c r="G154" s="2">
        <v>1</v>
      </c>
      <c r="H154" s="2">
        <v>30</v>
      </c>
      <c r="I154" s="2">
        <v>1</v>
      </c>
      <c r="J154" s="2">
        <v>0</v>
      </c>
      <c r="K154" s="6">
        <v>0.18</v>
      </c>
      <c r="L154" s="20">
        <v>0</v>
      </c>
      <c r="M154" s="7">
        <f>(C154+H154)*E154*F154*G154*I154+J154+L154</f>
        <v>349.56900000000002</v>
      </c>
      <c r="N154" s="8">
        <f>((M154/1.21)-L154)*0.18</f>
        <v>52.002000000000002</v>
      </c>
      <c r="O154" s="9">
        <v>0.25</v>
      </c>
      <c r="P154" s="8">
        <f>(((1-O154)*C154)/1.23)*F154+(D154*F154)+N154</f>
        <v>454.7565243902439</v>
      </c>
      <c r="Q154" s="36">
        <f>(M154/1.21-P154)/(M154/1.21)</f>
        <v>-0.5740966576332428</v>
      </c>
    </row>
    <row r="155" spans="2:17" ht="15.6" customHeight="1" x14ac:dyDescent="0.25">
      <c r="B155" s="104"/>
      <c r="C155" s="34">
        <v>179</v>
      </c>
      <c r="D155" s="32">
        <v>53.33</v>
      </c>
      <c r="E155" s="2">
        <v>1.02</v>
      </c>
      <c r="F155" s="2">
        <v>5.35</v>
      </c>
      <c r="G155" s="2">
        <v>1</v>
      </c>
      <c r="H155" s="2">
        <v>30</v>
      </c>
      <c r="I155" s="2">
        <v>1</v>
      </c>
      <c r="J155" s="2">
        <v>0</v>
      </c>
      <c r="K155" s="6">
        <v>0.18</v>
      </c>
      <c r="L155" s="20">
        <v>0</v>
      </c>
      <c r="M155" s="7">
        <f>(C155+H155)*E155*F155*G155*I155+J155+L155</f>
        <v>1140.5129999999999</v>
      </c>
      <c r="N155" s="8">
        <f>((M155/1.21)-L155)*0.18</f>
        <v>169.6630909090909</v>
      </c>
      <c r="O155" s="9">
        <v>0.25</v>
      </c>
      <c r="P155" s="8">
        <f t="shared" ref="P155:P158" si="36">(((1-O155)*C155)/1.23)*F155+(D155*F155)+N155</f>
        <v>1038.9115177383592</v>
      </c>
      <c r="Q155" s="36">
        <f>(M155/1.21-P155)/(M155/1.21)</f>
        <v>-0.10220833647964968</v>
      </c>
    </row>
    <row r="156" spans="2:17" ht="15.6" customHeight="1" x14ac:dyDescent="0.25">
      <c r="B156" s="104"/>
      <c r="C156" s="34">
        <v>269</v>
      </c>
      <c r="D156" s="32">
        <v>53.33</v>
      </c>
      <c r="E156" s="2">
        <v>1.0900000000000001</v>
      </c>
      <c r="F156" s="2">
        <v>5.35</v>
      </c>
      <c r="G156" s="2">
        <v>1</v>
      </c>
      <c r="H156" s="2">
        <v>29</v>
      </c>
      <c r="I156" s="2">
        <v>1</v>
      </c>
      <c r="J156" s="2">
        <v>0</v>
      </c>
      <c r="K156" s="6">
        <v>0.18</v>
      </c>
      <c r="L156" s="20">
        <v>0</v>
      </c>
      <c r="M156" s="7">
        <f>(C156+H156)*E156*F156*G156*I156+J156+L156</f>
        <v>1737.7870000000003</v>
      </c>
      <c r="N156" s="8">
        <f>((M156/1.21)-L156)*0.18</f>
        <v>258.51376859504137</v>
      </c>
      <c r="O156" s="9">
        <v>0.25</v>
      </c>
      <c r="P156" s="8">
        <f t="shared" si="36"/>
        <v>1421.3597563999192</v>
      </c>
      <c r="Q156" s="36">
        <f>(M156/1.21-P156)/(M156/1.21)</f>
        <v>1.0324449864165215E-2</v>
      </c>
    </row>
    <row r="157" spans="2:17" ht="15.6" customHeight="1" x14ac:dyDescent="0.25">
      <c r="B157" s="104"/>
      <c r="C157" s="34">
        <v>769</v>
      </c>
      <c r="D157" s="32">
        <v>53.33</v>
      </c>
      <c r="E157" s="2">
        <v>1.05</v>
      </c>
      <c r="F157" s="2">
        <v>5.35</v>
      </c>
      <c r="G157" s="2">
        <v>1</v>
      </c>
      <c r="H157" s="2">
        <v>29</v>
      </c>
      <c r="I157" s="2">
        <v>1</v>
      </c>
      <c r="J157" s="2">
        <v>0</v>
      </c>
      <c r="K157" s="6">
        <v>0.18</v>
      </c>
      <c r="L157" s="20">
        <v>0</v>
      </c>
      <c r="M157" s="7">
        <f>(C157+H157)*E157*F157*G157*I157+J157+L157</f>
        <v>4482.7650000000003</v>
      </c>
      <c r="N157" s="8">
        <f>((M157/1.21)-L157)*0.18</f>
        <v>666.85760330578523</v>
      </c>
      <c r="O157" s="9">
        <v>0.25</v>
      </c>
      <c r="P157" s="8">
        <f t="shared" si="36"/>
        <v>3460.8011520862733</v>
      </c>
      <c r="Q157" s="36">
        <f>(M157/1.21-P157)/(M157/1.21)</f>
        <v>6.5851233775495677E-2</v>
      </c>
    </row>
    <row r="158" spans="2:17" ht="15.6" customHeight="1" x14ac:dyDescent="0.25">
      <c r="B158" s="104"/>
      <c r="C158" s="34">
        <v>1999</v>
      </c>
      <c r="D158" s="32">
        <v>53.33</v>
      </c>
      <c r="E158" s="2">
        <v>1.04</v>
      </c>
      <c r="F158" s="2">
        <v>5.35</v>
      </c>
      <c r="G158" s="2">
        <v>1</v>
      </c>
      <c r="H158" s="2">
        <v>29</v>
      </c>
      <c r="I158" s="2">
        <v>1</v>
      </c>
      <c r="J158" s="2">
        <v>0</v>
      </c>
      <c r="K158" s="6">
        <v>0.18</v>
      </c>
      <c r="L158" s="20">
        <v>0</v>
      </c>
      <c r="M158" s="7">
        <f>(C158+H158)*E158*F158*G158*I158+J158+L158</f>
        <v>11283.791999999999</v>
      </c>
      <c r="N158" s="8">
        <f>((M158/1.21)-L158)*0.18</f>
        <v>1678.5806280991735</v>
      </c>
      <c r="O158" s="9">
        <v>0.25</v>
      </c>
      <c r="P158" s="8">
        <f t="shared" si="36"/>
        <v>8485.0241768796604</v>
      </c>
      <c r="Q158" s="36">
        <f>(M158/1.21-P158)/(M158/1.21)</f>
        <v>9.0121543003948576E-2</v>
      </c>
    </row>
    <row r="159" spans="2:17" ht="15.6" customHeight="1" x14ac:dyDescent="0.25">
      <c r="B159" s="104"/>
      <c r="Q159" s="18"/>
    </row>
    <row r="160" spans="2:17" ht="15.6" customHeight="1" x14ac:dyDescent="0.3">
      <c r="B160" s="104"/>
      <c r="C160" s="107" t="s">
        <v>17</v>
      </c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9"/>
    </row>
    <row r="161" spans="2:17" ht="15.6" customHeight="1" x14ac:dyDescent="0.25">
      <c r="B161" s="104"/>
      <c r="C161" s="1" t="s">
        <v>19</v>
      </c>
      <c r="D161" s="32" t="s">
        <v>2</v>
      </c>
      <c r="E161" s="2" t="s">
        <v>3</v>
      </c>
      <c r="F161" s="2" t="s">
        <v>4</v>
      </c>
      <c r="G161" s="2" t="s">
        <v>5</v>
      </c>
      <c r="H161" s="2" t="s">
        <v>6</v>
      </c>
      <c r="I161" s="2" t="s">
        <v>7</v>
      </c>
      <c r="J161" s="2" t="s">
        <v>8</v>
      </c>
      <c r="K161" s="2" t="s">
        <v>9</v>
      </c>
      <c r="L161" s="2" t="s">
        <v>10</v>
      </c>
      <c r="M161" s="2" t="s">
        <v>11</v>
      </c>
      <c r="N161" s="2" t="s">
        <v>12</v>
      </c>
      <c r="O161" s="2" t="s">
        <v>13</v>
      </c>
      <c r="P161" s="2" t="s">
        <v>14</v>
      </c>
      <c r="Q161" s="3" t="s">
        <v>15</v>
      </c>
    </row>
    <row r="162" spans="2:17" ht="15.6" customHeight="1" x14ac:dyDescent="0.25">
      <c r="B162" s="104"/>
      <c r="C162" s="34">
        <v>36</v>
      </c>
      <c r="D162" s="32">
        <v>53.33</v>
      </c>
      <c r="E162" s="2">
        <v>0.95</v>
      </c>
      <c r="F162" s="2">
        <v>5.35</v>
      </c>
      <c r="G162" s="2">
        <v>1</v>
      </c>
      <c r="H162" s="2">
        <v>20</v>
      </c>
      <c r="I162" s="2">
        <v>1</v>
      </c>
      <c r="J162" s="2">
        <v>0</v>
      </c>
      <c r="K162" s="6">
        <v>0.18</v>
      </c>
      <c r="L162" s="2">
        <v>80</v>
      </c>
      <c r="M162" s="7">
        <f>(C162+H162)*E162*F162*G162*I162+J162+L162</f>
        <v>364.61999999999995</v>
      </c>
      <c r="N162" s="8">
        <f>((M162/1.21)-L162)*0.18</f>
        <v>39.840991735537187</v>
      </c>
      <c r="O162" s="9">
        <v>0.25</v>
      </c>
      <c r="P162" s="8">
        <f>(((1-O162)*C162)/1.23)*F162+(D162*F162)+N162</f>
        <v>442.59551612578105</v>
      </c>
      <c r="Q162" s="36">
        <f>(M162/1.21-P162)/(M162/1.21)</f>
        <v>-0.46876357443967714</v>
      </c>
    </row>
    <row r="163" spans="2:17" ht="15.6" customHeight="1" x14ac:dyDescent="0.25">
      <c r="B163" s="104"/>
      <c r="C163" s="34">
        <v>179</v>
      </c>
      <c r="D163" s="32">
        <v>53.33</v>
      </c>
      <c r="E163" s="2">
        <v>1.01</v>
      </c>
      <c r="F163" s="2">
        <v>5.35</v>
      </c>
      <c r="G163" s="2">
        <v>1</v>
      </c>
      <c r="H163" s="2">
        <v>20</v>
      </c>
      <c r="I163" s="2">
        <v>1</v>
      </c>
      <c r="J163" s="2">
        <v>0</v>
      </c>
      <c r="K163" s="6">
        <v>0.18</v>
      </c>
      <c r="L163" s="2">
        <v>210</v>
      </c>
      <c r="M163" s="7">
        <f>(C163+H163)*E163*F163*G163*I163+J163+L163</f>
        <v>1285.2964999999999</v>
      </c>
      <c r="N163" s="8">
        <f>((M163/1.21)-L163)*0.18</f>
        <v>153.40113223140494</v>
      </c>
      <c r="O163" s="9">
        <v>0.25</v>
      </c>
      <c r="P163" s="8">
        <f t="shared" ref="P163:P166" si="37">(((1-O163)*C163)/1.23)*F163+(D163*F163)+N163</f>
        <v>1022.6495590606733</v>
      </c>
      <c r="Q163" s="36">
        <f>(M163/1.21-P163)/(M163/1.21)</f>
        <v>3.7260300278251252E-2</v>
      </c>
    </row>
    <row r="164" spans="2:17" ht="15.6" customHeight="1" x14ac:dyDescent="0.25">
      <c r="B164" s="104"/>
      <c r="C164" s="34">
        <v>269</v>
      </c>
      <c r="D164" s="32">
        <v>53.33</v>
      </c>
      <c r="E164" s="2">
        <v>1.1299999999999999</v>
      </c>
      <c r="F164" s="2">
        <v>5.35</v>
      </c>
      <c r="G164" s="2">
        <v>1</v>
      </c>
      <c r="H164" s="2">
        <v>0</v>
      </c>
      <c r="I164" s="2">
        <v>1</v>
      </c>
      <c r="J164" s="2">
        <v>0</v>
      </c>
      <c r="K164" s="6">
        <v>0.18</v>
      </c>
      <c r="L164" s="2">
        <v>210</v>
      </c>
      <c r="M164" s="7">
        <f>(C164+H164)*E164*F164*G164*I164+J164+L164</f>
        <v>1836.2394999999997</v>
      </c>
      <c r="N164" s="8">
        <f>((M164/1.21)-L164)*0.18</f>
        <v>235.35959504132225</v>
      </c>
      <c r="O164" s="9">
        <v>0.25</v>
      </c>
      <c r="P164" s="8">
        <f t="shared" si="37"/>
        <v>1398.2055828462003</v>
      </c>
      <c r="Q164" s="36">
        <f>(M164/1.21-P164)/(M164/1.21)</f>
        <v>7.8644830783836953E-2</v>
      </c>
    </row>
    <row r="165" spans="2:17" ht="15.6" customHeight="1" x14ac:dyDescent="0.25">
      <c r="B165" s="104"/>
      <c r="C165" s="34">
        <v>769</v>
      </c>
      <c r="D165" s="32">
        <v>53.33</v>
      </c>
      <c r="E165" s="2">
        <v>1.1499999999999999</v>
      </c>
      <c r="F165" s="2">
        <v>5.35</v>
      </c>
      <c r="G165" s="2">
        <v>1</v>
      </c>
      <c r="H165" s="2">
        <v>0</v>
      </c>
      <c r="I165" s="2">
        <v>1</v>
      </c>
      <c r="J165" s="2">
        <v>0</v>
      </c>
      <c r="K165" s="6">
        <v>0.18</v>
      </c>
      <c r="L165" s="2">
        <v>690</v>
      </c>
      <c r="M165" s="7">
        <f>(C165+H165)*E165*F165*G165*I165+J165+L165</f>
        <v>5421.2724999999991</v>
      </c>
      <c r="N165" s="8">
        <f>((M165/1.21)-L165)*0.18</f>
        <v>682.27028925619811</v>
      </c>
      <c r="O165" s="9">
        <v>0.25</v>
      </c>
      <c r="P165" s="8">
        <f t="shared" si="37"/>
        <v>3476.213838036686</v>
      </c>
      <c r="Q165" s="36">
        <f>(M165/1.21-P165)/(M165/1.21)</f>
        <v>0.22412703954202801</v>
      </c>
    </row>
    <row r="166" spans="2:17" ht="15.6" customHeight="1" thickBot="1" x14ac:dyDescent="0.3">
      <c r="B166" s="105"/>
      <c r="C166" s="34">
        <v>1999</v>
      </c>
      <c r="D166" s="32">
        <v>53.33</v>
      </c>
      <c r="E166" s="2">
        <v>1</v>
      </c>
      <c r="F166" s="2">
        <v>5.35</v>
      </c>
      <c r="G166" s="2">
        <v>1</v>
      </c>
      <c r="H166" s="2">
        <v>0</v>
      </c>
      <c r="I166" s="2">
        <v>1</v>
      </c>
      <c r="J166" s="2">
        <v>0</v>
      </c>
      <c r="K166" s="6">
        <v>0.18</v>
      </c>
      <c r="L166" s="2">
        <v>1080</v>
      </c>
      <c r="M166" s="7">
        <f>(C166+H166)*E166*F166*G166*I166+J166+L166</f>
        <v>11774.65</v>
      </c>
      <c r="N166" s="8">
        <f>((M166/1.21)-L166)*0.18</f>
        <v>1557.2008264462811</v>
      </c>
      <c r="O166" s="9">
        <v>0.25</v>
      </c>
      <c r="P166" s="8">
        <f t="shared" si="37"/>
        <v>8363.6443752267696</v>
      </c>
      <c r="Q166" s="36">
        <f>(M166/1.21-P166)/(M166/1.21)</f>
        <v>0.14052564670504933</v>
      </c>
    </row>
    <row r="167" spans="2:17" ht="15.6" customHeight="1" thickBot="1" x14ac:dyDescent="0.3"/>
    <row r="168" spans="2:17" ht="15.6" customHeight="1" x14ac:dyDescent="0.3">
      <c r="B168" s="103" t="s">
        <v>76</v>
      </c>
      <c r="C168" s="106" t="s">
        <v>16</v>
      </c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9"/>
    </row>
    <row r="169" spans="2:17" ht="15.6" customHeight="1" x14ac:dyDescent="0.25">
      <c r="B169" s="104"/>
      <c r="C169" s="1" t="s">
        <v>19</v>
      </c>
      <c r="D169" s="3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2" t="s">
        <v>8</v>
      </c>
      <c r="K169" s="2" t="s">
        <v>9</v>
      </c>
      <c r="L169" s="2" t="s">
        <v>10</v>
      </c>
      <c r="M169" s="2" t="s">
        <v>11</v>
      </c>
      <c r="N169" s="2" t="s">
        <v>12</v>
      </c>
      <c r="O169" s="2" t="s">
        <v>13</v>
      </c>
      <c r="P169" s="2" t="s">
        <v>14</v>
      </c>
      <c r="Q169" s="3" t="s">
        <v>15</v>
      </c>
    </row>
    <row r="170" spans="2:17" ht="15.6" customHeight="1" x14ac:dyDescent="0.25">
      <c r="B170" s="104"/>
      <c r="C170" s="34">
        <v>36</v>
      </c>
      <c r="D170" s="32">
        <v>78.86</v>
      </c>
      <c r="E170" s="2">
        <v>0.99</v>
      </c>
      <c r="F170" s="2">
        <v>5.35</v>
      </c>
      <c r="G170" s="2">
        <v>1</v>
      </c>
      <c r="H170" s="2">
        <v>30</v>
      </c>
      <c r="I170" s="2">
        <v>1</v>
      </c>
      <c r="J170" s="2">
        <v>0</v>
      </c>
      <c r="K170" s="6">
        <v>0.18</v>
      </c>
      <c r="L170" s="2">
        <v>210</v>
      </c>
      <c r="M170" s="7">
        <f>(C170+H170)*E170*F170*G170*I170+J170+L170</f>
        <v>559.56899999999996</v>
      </c>
      <c r="N170" s="8">
        <f>((M170/1.21)-L170)*0.18</f>
        <v>45.441669421487596</v>
      </c>
      <c r="O170" s="9">
        <v>0.25</v>
      </c>
      <c r="P170" s="8">
        <f>(((1-O170)*C170)/1.23)*F170+(D170*F170)+N170</f>
        <v>584.78169381173143</v>
      </c>
      <c r="Q170" s="36">
        <f>(M170/1.21-P170)/(M170/1.21)</f>
        <v>-0.26451938815801995</v>
      </c>
    </row>
    <row r="171" spans="2:17" ht="15.6" customHeight="1" x14ac:dyDescent="0.25">
      <c r="B171" s="104"/>
      <c r="C171" s="34">
        <v>179</v>
      </c>
      <c r="D171" s="32">
        <v>78.86</v>
      </c>
      <c r="E171" s="2">
        <v>1.02</v>
      </c>
      <c r="F171" s="2">
        <v>5.35</v>
      </c>
      <c r="G171" s="2">
        <v>1</v>
      </c>
      <c r="H171" s="2">
        <v>30</v>
      </c>
      <c r="I171" s="2">
        <v>1</v>
      </c>
      <c r="J171" s="2">
        <v>0</v>
      </c>
      <c r="K171" s="6">
        <v>0.18</v>
      </c>
      <c r="L171" s="2">
        <v>210</v>
      </c>
      <c r="M171" s="7">
        <f>(C171+H171)*E171*F171*G171*I171+J171+L171</f>
        <v>1350.5129999999999</v>
      </c>
      <c r="N171" s="8">
        <f>((M171/1.21)-L171)*0.18</f>
        <v>163.10276033057852</v>
      </c>
      <c r="O171" s="9">
        <v>0.25</v>
      </c>
      <c r="P171" s="8">
        <f t="shared" ref="P171:P174" si="38">(((1-O171)*C171)/1.23)*F171+(D171*F171)+N171</f>
        <v>1168.9366871598468</v>
      </c>
      <c r="Q171" s="36">
        <f>(M171/1.21-P171)/(M171/1.21)</f>
        <v>-4.7315643361755519E-2</v>
      </c>
    </row>
    <row r="172" spans="2:17" ht="15.6" customHeight="1" x14ac:dyDescent="0.25">
      <c r="B172" s="104"/>
      <c r="C172" s="34">
        <v>269</v>
      </c>
      <c r="D172" s="32">
        <v>78.86</v>
      </c>
      <c r="E172" s="2">
        <v>1.0900000000000001</v>
      </c>
      <c r="F172" s="2">
        <v>5.35</v>
      </c>
      <c r="G172" s="2">
        <v>1</v>
      </c>
      <c r="H172" s="2">
        <v>29</v>
      </c>
      <c r="I172" s="2">
        <v>1</v>
      </c>
      <c r="J172" s="2">
        <v>0</v>
      </c>
      <c r="K172" s="6">
        <v>0.18</v>
      </c>
      <c r="L172" s="2">
        <v>210</v>
      </c>
      <c r="M172" s="7">
        <f>(C172+H172)*E172*F172*G172*I172+J172+L172</f>
        <v>1947.7870000000003</v>
      </c>
      <c r="N172" s="8">
        <f>((M172/1.21)-L172)*0.18</f>
        <v>251.95343801652893</v>
      </c>
      <c r="O172" s="9">
        <v>0.25</v>
      </c>
      <c r="P172" s="8">
        <f t="shared" si="38"/>
        <v>1551.384925821407</v>
      </c>
      <c r="Q172" s="36">
        <f>(M172/1.21-P172)/(M172/1.21)</f>
        <v>3.6252033593045685E-2</v>
      </c>
    </row>
    <row r="173" spans="2:17" ht="15.6" customHeight="1" x14ac:dyDescent="0.25">
      <c r="B173" s="104"/>
      <c r="C173" s="34">
        <v>769</v>
      </c>
      <c r="D173" s="32">
        <v>78.86</v>
      </c>
      <c r="E173" s="2">
        <v>1.05</v>
      </c>
      <c r="F173" s="2">
        <v>5.35</v>
      </c>
      <c r="G173" s="2">
        <v>1</v>
      </c>
      <c r="H173" s="2">
        <v>29</v>
      </c>
      <c r="I173" s="2">
        <v>1</v>
      </c>
      <c r="J173" s="2">
        <v>0</v>
      </c>
      <c r="K173" s="6">
        <v>0.18</v>
      </c>
      <c r="L173" s="2">
        <v>620</v>
      </c>
      <c r="M173" s="7">
        <f>(C173+H173)*E173*F173*G173*I173+J173+L173</f>
        <v>5102.7650000000003</v>
      </c>
      <c r="N173" s="8">
        <f>((M173/1.21)-L173)*0.18</f>
        <v>647.48900826446288</v>
      </c>
      <c r="O173" s="9">
        <v>0.25</v>
      </c>
      <c r="P173" s="8">
        <f t="shared" si="38"/>
        <v>3578.0180570449506</v>
      </c>
      <c r="Q173" s="36">
        <f>(M173/1.21-P173)/(M173/1.21)</f>
        <v>0.15155766549617913</v>
      </c>
    </row>
    <row r="174" spans="2:17" ht="15.6" customHeight="1" x14ac:dyDescent="0.25">
      <c r="B174" s="104"/>
      <c r="C174" s="34">
        <v>1999</v>
      </c>
      <c r="D174" s="32">
        <v>78.86</v>
      </c>
      <c r="E174" s="2">
        <v>1.04</v>
      </c>
      <c r="F174" s="2">
        <v>5.35</v>
      </c>
      <c r="G174" s="2">
        <v>1</v>
      </c>
      <c r="H174" s="2">
        <v>29</v>
      </c>
      <c r="I174" s="2">
        <v>1</v>
      </c>
      <c r="J174" s="2">
        <v>0</v>
      </c>
      <c r="K174" s="6">
        <v>0.18</v>
      </c>
      <c r="L174" s="2">
        <v>920</v>
      </c>
      <c r="M174" s="7">
        <f>(C174+H174)*E174*F174*G174*I174+J174+L174</f>
        <v>12203.791999999999</v>
      </c>
      <c r="N174" s="8">
        <f>((M174/1.21)-L174)*0.18</f>
        <v>1649.8401322314048</v>
      </c>
      <c r="O174" s="9">
        <v>0.25</v>
      </c>
      <c r="P174" s="8">
        <f t="shared" si="38"/>
        <v>8592.8691810118926</v>
      </c>
      <c r="Q174" s="36">
        <f>(M174/1.21-P174)/(M174/1.21)</f>
        <v>0.14802122905533041</v>
      </c>
    </row>
    <row r="175" spans="2:17" ht="15.6" customHeight="1" x14ac:dyDescent="0.25">
      <c r="B175" s="104"/>
      <c r="Q175" s="18"/>
    </row>
    <row r="176" spans="2:17" ht="15.6" customHeight="1" x14ac:dyDescent="0.3">
      <c r="B176" s="104"/>
      <c r="C176" s="107" t="s">
        <v>17</v>
      </c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9"/>
    </row>
    <row r="177" spans="2:17" ht="15.6" customHeight="1" x14ac:dyDescent="0.25">
      <c r="B177" s="104"/>
      <c r="C177" s="1" t="s">
        <v>19</v>
      </c>
      <c r="D177" s="32" t="s">
        <v>2</v>
      </c>
      <c r="E177" s="2" t="s">
        <v>3</v>
      </c>
      <c r="F177" s="2" t="s">
        <v>4</v>
      </c>
      <c r="G177" s="2" t="s">
        <v>5</v>
      </c>
      <c r="H177" s="2" t="s">
        <v>6</v>
      </c>
      <c r="I177" s="2" t="s">
        <v>7</v>
      </c>
      <c r="J177" s="2" t="s">
        <v>8</v>
      </c>
      <c r="K177" s="2" t="s">
        <v>9</v>
      </c>
      <c r="L177" s="2" t="s">
        <v>10</v>
      </c>
      <c r="M177" s="2" t="s">
        <v>11</v>
      </c>
      <c r="N177" s="2" t="s">
        <v>12</v>
      </c>
      <c r="O177" s="2" t="s">
        <v>13</v>
      </c>
      <c r="P177" s="2" t="s">
        <v>14</v>
      </c>
      <c r="Q177" s="3" t="s">
        <v>15</v>
      </c>
    </row>
    <row r="178" spans="2:17" ht="15.6" customHeight="1" x14ac:dyDescent="0.25">
      <c r="B178" s="104"/>
      <c r="C178" s="34">
        <v>36</v>
      </c>
      <c r="D178" s="32">
        <v>78.86</v>
      </c>
      <c r="E178" s="2">
        <v>0.95</v>
      </c>
      <c r="F178" s="2">
        <v>5.35</v>
      </c>
      <c r="G178" s="2">
        <v>1</v>
      </c>
      <c r="H178" s="2">
        <v>20</v>
      </c>
      <c r="I178" s="2">
        <v>1</v>
      </c>
      <c r="J178" s="2">
        <v>0</v>
      </c>
      <c r="K178" s="6">
        <v>0.18</v>
      </c>
      <c r="L178" s="2">
        <f>80+360</f>
        <v>440</v>
      </c>
      <c r="M178" s="7">
        <f>(C178+H178)*E178*F178*G178*I178+J178+L178</f>
        <v>724.61999999999989</v>
      </c>
      <c r="N178" s="8">
        <f>((M178/1.21)-L178)*0.18</f>
        <v>28.594710743801638</v>
      </c>
      <c r="O178" s="9">
        <v>0.25</v>
      </c>
      <c r="P178" s="8">
        <f>(((1-O178)*C178)/1.23)*F178+(D178*F178)+N178</f>
        <v>567.93473513404547</v>
      </c>
      <c r="Q178" s="36">
        <f>(M178/1.21-P178)/(M178/1.21)</f>
        <v>5.1639439275489092E-2</v>
      </c>
    </row>
    <row r="179" spans="2:17" ht="15.6" customHeight="1" x14ac:dyDescent="0.25">
      <c r="B179" s="104"/>
      <c r="C179" s="34">
        <v>179</v>
      </c>
      <c r="D179" s="32">
        <v>78.86</v>
      </c>
      <c r="E179" s="2">
        <v>1.01</v>
      </c>
      <c r="F179" s="2">
        <v>5.35</v>
      </c>
      <c r="G179" s="2">
        <v>1</v>
      </c>
      <c r="H179" s="2">
        <v>20</v>
      </c>
      <c r="I179" s="2">
        <v>1</v>
      </c>
      <c r="J179" s="2">
        <v>0</v>
      </c>
      <c r="K179" s="6">
        <v>0.18</v>
      </c>
      <c r="L179" s="2">
        <f>210+360</f>
        <v>570</v>
      </c>
      <c r="M179" s="7">
        <f>(C179+H179)*E179*F179*G179*I179+J179+L179</f>
        <v>1645.2964999999999</v>
      </c>
      <c r="N179" s="8">
        <f>((M179/1.21)-L179)*0.18</f>
        <v>142.1548512396694</v>
      </c>
      <c r="O179" s="9">
        <v>0.25</v>
      </c>
      <c r="P179" s="8">
        <f t="shared" ref="P179:P182" si="39">(((1-O179)*C179)/1.23)*F179+(D179*F179)+N179</f>
        <v>1147.9887780689376</v>
      </c>
      <c r="Q179" s="36">
        <f>(M179/1.21-P179)/(M179/1.21)</f>
        <v>0.15573489552587361</v>
      </c>
    </row>
    <row r="180" spans="2:17" ht="15.6" customHeight="1" x14ac:dyDescent="0.25">
      <c r="B180" s="104"/>
      <c r="C180" s="34">
        <v>269</v>
      </c>
      <c r="D180" s="32">
        <v>78.86</v>
      </c>
      <c r="E180" s="2">
        <v>1.1299999999999999</v>
      </c>
      <c r="F180" s="2">
        <v>5.35</v>
      </c>
      <c r="G180" s="2">
        <v>1</v>
      </c>
      <c r="H180" s="2">
        <v>0</v>
      </c>
      <c r="I180" s="2">
        <v>1</v>
      </c>
      <c r="J180" s="2">
        <v>0</v>
      </c>
      <c r="K180" s="6">
        <v>0.18</v>
      </c>
      <c r="L180" s="2">
        <f>210+360</f>
        <v>570</v>
      </c>
      <c r="M180" s="7">
        <f>(C180+H180)*E180*F180*G180*I180+J180+L180</f>
        <v>2196.2394999999997</v>
      </c>
      <c r="N180" s="8">
        <f>((M180/1.21)-L180)*0.18</f>
        <v>224.11331404958671</v>
      </c>
      <c r="O180" s="9">
        <v>0.25</v>
      </c>
      <c r="P180" s="8">
        <f t="shared" si="39"/>
        <v>1523.5448018544648</v>
      </c>
      <c r="Q180" s="36">
        <f>(M180/1.21-P180)/(M180/1.21)</f>
        <v>0.1606155839361314</v>
      </c>
    </row>
    <row r="181" spans="2:17" ht="15.6" customHeight="1" x14ac:dyDescent="0.25">
      <c r="B181" s="104"/>
      <c r="C181" s="34">
        <v>769</v>
      </c>
      <c r="D181" s="32">
        <v>78.86</v>
      </c>
      <c r="E181" s="2">
        <v>1.1499999999999999</v>
      </c>
      <c r="F181" s="2">
        <v>5.35</v>
      </c>
      <c r="G181" s="2">
        <v>1</v>
      </c>
      <c r="H181" s="2">
        <v>0</v>
      </c>
      <c r="I181" s="2">
        <v>1</v>
      </c>
      <c r="J181" s="2">
        <v>0</v>
      </c>
      <c r="K181" s="6">
        <v>0.18</v>
      </c>
      <c r="L181" s="2">
        <f>690+780</f>
        <v>1470</v>
      </c>
      <c r="M181" s="7">
        <f>(C181+H181)*E181*F181*G181*I181+J181+L181</f>
        <v>6201.2724999999991</v>
      </c>
      <c r="N181" s="8">
        <f>((M181/1.21)-L181)*0.18</f>
        <v>657.90334710743787</v>
      </c>
      <c r="O181" s="9">
        <v>0.25</v>
      </c>
      <c r="P181" s="8">
        <f t="shared" si="39"/>
        <v>3588.4323958879258</v>
      </c>
      <c r="Q181" s="36">
        <f>(M181/1.21-P181)/(M181/1.21)</f>
        <v>0.2998206095564433</v>
      </c>
    </row>
    <row r="182" spans="2:17" ht="15.6" customHeight="1" thickBot="1" x14ac:dyDescent="0.3">
      <c r="B182" s="105"/>
      <c r="C182" s="34">
        <v>1999</v>
      </c>
      <c r="D182" s="32">
        <v>78.86</v>
      </c>
      <c r="E182" s="2">
        <v>1</v>
      </c>
      <c r="F182" s="2">
        <v>5.35</v>
      </c>
      <c r="G182" s="2">
        <v>1</v>
      </c>
      <c r="H182" s="2">
        <v>0</v>
      </c>
      <c r="I182" s="2">
        <v>1</v>
      </c>
      <c r="J182" s="2">
        <v>0</v>
      </c>
      <c r="K182" s="6">
        <v>0.18</v>
      </c>
      <c r="L182" s="2">
        <f>1080+1080</f>
        <v>2160</v>
      </c>
      <c r="M182" s="7">
        <f>(C182+H182)*E182*F182*G182*I182+J182+L182</f>
        <v>12854.65</v>
      </c>
      <c r="N182" s="8">
        <f>((M182/1.21)-L182)*0.18</f>
        <v>1523.4619834710743</v>
      </c>
      <c r="O182" s="9">
        <v>0.25</v>
      </c>
      <c r="P182" s="8">
        <f t="shared" si="39"/>
        <v>8466.4910322515625</v>
      </c>
      <c r="Q182" s="36">
        <f>(M182/1.21-P182)/(M182/1.21)</f>
        <v>0.20305460288499566</v>
      </c>
    </row>
    <row r="183" spans="2:17" ht="15.6" customHeight="1" thickBot="1" x14ac:dyDescent="0.3"/>
    <row r="184" spans="2:17" ht="15.6" customHeight="1" x14ac:dyDescent="0.3">
      <c r="B184" s="103" t="s">
        <v>79</v>
      </c>
      <c r="C184" s="106" t="s">
        <v>16</v>
      </c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9"/>
    </row>
    <row r="185" spans="2:17" ht="15.6" customHeight="1" x14ac:dyDescent="0.25">
      <c r="B185" s="104"/>
      <c r="C185" s="1" t="s">
        <v>1</v>
      </c>
      <c r="D185" s="32" t="s">
        <v>2</v>
      </c>
      <c r="E185" s="2" t="s">
        <v>3</v>
      </c>
      <c r="F185" s="2" t="s">
        <v>4</v>
      </c>
      <c r="G185" s="2" t="s">
        <v>5</v>
      </c>
      <c r="H185" s="2" t="s">
        <v>6</v>
      </c>
      <c r="I185" s="2" t="s">
        <v>7</v>
      </c>
      <c r="J185" s="2" t="s">
        <v>8</v>
      </c>
      <c r="K185" s="2" t="s">
        <v>9</v>
      </c>
      <c r="L185" s="2" t="s">
        <v>10</v>
      </c>
      <c r="M185" s="2" t="s">
        <v>11</v>
      </c>
      <c r="N185" s="2" t="s">
        <v>12</v>
      </c>
      <c r="O185" s="2" t="s">
        <v>13</v>
      </c>
      <c r="P185" s="2" t="s">
        <v>14</v>
      </c>
      <c r="Q185" s="3" t="s">
        <v>15</v>
      </c>
    </row>
    <row r="186" spans="2:17" ht="15.6" customHeight="1" x14ac:dyDescent="0.25">
      <c r="B186" s="104"/>
      <c r="C186" s="34">
        <v>8.94</v>
      </c>
      <c r="D186" s="32">
        <v>36.31</v>
      </c>
      <c r="E186" s="2">
        <v>1.26</v>
      </c>
      <c r="F186" s="2">
        <v>5.35</v>
      </c>
      <c r="G186" s="2">
        <v>1.23</v>
      </c>
      <c r="H186" s="2">
        <v>30</v>
      </c>
      <c r="I186" s="2">
        <v>1</v>
      </c>
      <c r="J186" s="2">
        <v>0</v>
      </c>
      <c r="K186" s="6">
        <v>0.18</v>
      </c>
      <c r="L186" s="2">
        <v>0</v>
      </c>
      <c r="M186" s="7">
        <f>(C186+H186)*E186*F186*G186*I186+J186</f>
        <v>322.86828419999995</v>
      </c>
      <c r="N186" s="8">
        <f>(M186/1.21)*0.18</f>
        <v>48.029992690909083</v>
      </c>
      <c r="O186" s="9">
        <v>0</v>
      </c>
      <c r="P186" s="8">
        <f>(1-O186)*C186*F186+(D186*F186)+N186</f>
        <v>290.11749269090905</v>
      </c>
      <c r="Q186" s="36">
        <f>(M186/1.21-P186)/(M186/1.21)</f>
        <v>-8.7261224885587546E-2</v>
      </c>
    </row>
    <row r="187" spans="2:17" ht="15.6" customHeight="1" x14ac:dyDescent="0.25">
      <c r="B187" s="104"/>
      <c r="C187" s="34">
        <v>28.14</v>
      </c>
      <c r="D187" s="32">
        <v>36.31</v>
      </c>
      <c r="E187" s="2">
        <v>1.3</v>
      </c>
      <c r="F187" s="2">
        <v>5.35</v>
      </c>
      <c r="G187" s="2">
        <v>1.23</v>
      </c>
      <c r="H187" s="2">
        <v>30</v>
      </c>
      <c r="I187" s="2">
        <v>1</v>
      </c>
      <c r="J187" s="2">
        <v>0</v>
      </c>
      <c r="K187" s="6">
        <v>0.18</v>
      </c>
      <c r="L187" s="2">
        <v>0</v>
      </c>
      <c r="M187" s="7">
        <f t="shared" ref="M187:M190" si="40">(C187+H187)*E187*F187*G187*I187+J187</f>
        <v>497.36735099999999</v>
      </c>
      <c r="N187" s="8">
        <f t="shared" ref="N187:N190" si="41">(M187/1.21)*0.18</f>
        <v>73.988531553719</v>
      </c>
      <c r="O187" s="9">
        <v>0</v>
      </c>
      <c r="P187" s="8">
        <f t="shared" ref="P187:P190" si="42">(1-O187)*C187*F187+(D187*F187)+N187</f>
        <v>418.79603155371899</v>
      </c>
      <c r="Q187" s="36">
        <f>(M187/1.21-P187)/(M187/1.21)</f>
        <v>-1.8850950230546972E-2</v>
      </c>
    </row>
    <row r="188" spans="2:17" ht="15.6" customHeight="1" x14ac:dyDescent="0.25">
      <c r="B188" s="104"/>
      <c r="C188" s="34">
        <v>51.6</v>
      </c>
      <c r="D188" s="32">
        <v>36.31</v>
      </c>
      <c r="E188" s="2">
        <v>1.32</v>
      </c>
      <c r="F188" s="2">
        <v>5.35</v>
      </c>
      <c r="G188" s="2">
        <v>1.23</v>
      </c>
      <c r="H188" s="2">
        <v>30</v>
      </c>
      <c r="I188" s="2">
        <v>1</v>
      </c>
      <c r="J188" s="2">
        <v>0</v>
      </c>
      <c r="K188" s="6">
        <v>0.18</v>
      </c>
      <c r="L188" s="2">
        <v>0</v>
      </c>
      <c r="M188" s="7">
        <f t="shared" si="40"/>
        <v>708.79881599999999</v>
      </c>
      <c r="N188" s="8">
        <f t="shared" si="41"/>
        <v>105.44114618181817</v>
      </c>
      <c r="O188" s="9">
        <v>0</v>
      </c>
      <c r="P188" s="8">
        <f t="shared" si="42"/>
        <v>575.7596461818182</v>
      </c>
      <c r="Q188" s="36">
        <f>(M188/1.21-P188)/(M188/1.21)</f>
        <v>1.7112957649184232E-2</v>
      </c>
    </row>
    <row r="189" spans="2:17" ht="15.6" customHeight="1" x14ac:dyDescent="0.25">
      <c r="B189" s="104"/>
      <c r="C189" s="34">
        <v>65.64</v>
      </c>
      <c r="D189" s="32">
        <v>36.31</v>
      </c>
      <c r="E189" s="2">
        <v>1.31</v>
      </c>
      <c r="F189" s="2">
        <v>5.35</v>
      </c>
      <c r="G189" s="2">
        <v>1.23</v>
      </c>
      <c r="H189" s="2">
        <v>30</v>
      </c>
      <c r="I189" s="2">
        <v>1</v>
      </c>
      <c r="J189" s="2">
        <v>0</v>
      </c>
      <c r="K189" s="6">
        <v>0.18</v>
      </c>
      <c r="L189" s="2">
        <v>0</v>
      </c>
      <c r="M189" s="7">
        <f t="shared" si="40"/>
        <v>824.46031620000008</v>
      </c>
      <c r="N189" s="8">
        <f t="shared" si="41"/>
        <v>122.64698918677686</v>
      </c>
      <c r="O189" s="9">
        <v>0</v>
      </c>
      <c r="P189" s="8">
        <f t="shared" si="42"/>
        <v>668.07948918677687</v>
      </c>
      <c r="Q189" s="36">
        <f>(M189/1.21-P189)/(M189/1.21)</f>
        <v>1.9508682186345883E-2</v>
      </c>
    </row>
    <row r="190" spans="2:17" ht="15.6" customHeight="1" x14ac:dyDescent="0.25">
      <c r="B190" s="104"/>
      <c r="C190" s="34">
        <v>139.15</v>
      </c>
      <c r="D190" s="32">
        <v>36.31</v>
      </c>
      <c r="E190" s="2">
        <v>1.32</v>
      </c>
      <c r="F190" s="2">
        <v>5.35</v>
      </c>
      <c r="G190" s="2">
        <v>1.23</v>
      </c>
      <c r="H190" s="2">
        <v>30</v>
      </c>
      <c r="I190" s="2">
        <v>1</v>
      </c>
      <c r="J190" s="2">
        <v>0</v>
      </c>
      <c r="K190" s="6">
        <v>0.18</v>
      </c>
      <c r="L190" s="2">
        <v>0</v>
      </c>
      <c r="M190" s="7">
        <f t="shared" si="40"/>
        <v>1469.2808789999999</v>
      </c>
      <c r="N190" s="8">
        <f t="shared" si="41"/>
        <v>218.57070927272727</v>
      </c>
      <c r="O190" s="9">
        <v>0</v>
      </c>
      <c r="P190" s="8">
        <f t="shared" si="42"/>
        <v>1157.2817092727273</v>
      </c>
      <c r="Q190" s="36">
        <f>(M190/1.21-P190)/(M190/1.21)</f>
        <v>4.6941338287163507E-2</v>
      </c>
    </row>
    <row r="191" spans="2:17" ht="15.6" customHeight="1" x14ac:dyDescent="0.25">
      <c r="B191" s="104"/>
      <c r="Q191" s="18"/>
    </row>
    <row r="192" spans="2:17" ht="15.6" customHeight="1" x14ac:dyDescent="0.3">
      <c r="B192" s="104"/>
      <c r="C192" s="107" t="s">
        <v>17</v>
      </c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9"/>
    </row>
    <row r="193" spans="2:17" ht="15.6" customHeight="1" x14ac:dyDescent="0.25">
      <c r="B193" s="104"/>
      <c r="C193" s="1" t="s">
        <v>1</v>
      </c>
      <c r="D193" s="3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2" t="s">
        <v>8</v>
      </c>
      <c r="K193" s="2" t="s">
        <v>9</v>
      </c>
      <c r="L193" s="2" t="s">
        <v>10</v>
      </c>
      <c r="M193" s="2" t="s">
        <v>11</v>
      </c>
      <c r="N193" s="2" t="s">
        <v>12</v>
      </c>
      <c r="O193" s="2" t="s">
        <v>13</v>
      </c>
      <c r="P193" s="2" t="s">
        <v>14</v>
      </c>
      <c r="Q193" s="3" t="s">
        <v>15</v>
      </c>
    </row>
    <row r="194" spans="2:17" ht="15.6" customHeight="1" x14ac:dyDescent="0.25">
      <c r="B194" s="104"/>
      <c r="C194" s="34">
        <v>8.94</v>
      </c>
      <c r="D194" s="32">
        <v>26.81</v>
      </c>
      <c r="E194" s="2">
        <v>0.86</v>
      </c>
      <c r="F194" s="2">
        <v>5.35</v>
      </c>
      <c r="G194" s="2">
        <v>1.23</v>
      </c>
      <c r="H194" s="2">
        <v>20</v>
      </c>
      <c r="I194" s="2">
        <v>1</v>
      </c>
      <c r="J194" s="2">
        <v>0</v>
      </c>
      <c r="K194" s="6">
        <v>0.18</v>
      </c>
      <c r="L194" s="2">
        <v>49</v>
      </c>
      <c r="M194" s="7">
        <f>(C194+H194)*E194*F194*G194*I194+J194</f>
        <v>163.77811619999997</v>
      </c>
      <c r="N194" s="8">
        <f>((M194/1.21))*0.18</f>
        <v>24.363686707438013</v>
      </c>
      <c r="O194" s="9">
        <v>0</v>
      </c>
      <c r="P194" s="8">
        <f>(1-O194)*C194*F194+(D194*F194)+N194</f>
        <v>215.62618670743799</v>
      </c>
      <c r="Q194" s="36">
        <f>(M194/1.21-P194)/(M194/1.21)</f>
        <v>-0.59305584878866746</v>
      </c>
    </row>
    <row r="195" spans="2:17" ht="15.6" customHeight="1" x14ac:dyDescent="0.25">
      <c r="B195" s="104"/>
      <c r="C195" s="34">
        <v>28.14</v>
      </c>
      <c r="D195" s="32">
        <v>26.81</v>
      </c>
      <c r="E195" s="2">
        <v>1.07</v>
      </c>
      <c r="F195" s="2">
        <v>5.35</v>
      </c>
      <c r="G195" s="2">
        <v>1.23</v>
      </c>
      <c r="H195" s="2">
        <v>20</v>
      </c>
      <c r="I195" s="2">
        <v>1</v>
      </c>
      <c r="J195" s="2">
        <v>0</v>
      </c>
      <c r="K195" s="6">
        <v>0.18</v>
      </c>
      <c r="L195" s="2">
        <v>49</v>
      </c>
      <c r="M195" s="7">
        <f t="shared" ref="M195:M198" si="43">(C195+H195)*E195*F195*G195*I195+J195</f>
        <v>338.96023889999998</v>
      </c>
      <c r="N195" s="8">
        <f t="shared" ref="N195:N198" si="44">((M195/1.21))*0.18</f>
        <v>50.423837191735529</v>
      </c>
      <c r="O195" s="9">
        <v>0</v>
      </c>
      <c r="P195" s="8">
        <f t="shared" ref="P195:P198" si="45">(1-O195)*C195*F195+(D195*F195)+N195</f>
        <v>344.40633719173547</v>
      </c>
      <c r="Q195" s="36">
        <f>(M195/1.21-P195)/(M195/1.21)</f>
        <v>-0.22944115614971611</v>
      </c>
    </row>
    <row r="196" spans="2:17" ht="15.6" customHeight="1" x14ac:dyDescent="0.25">
      <c r="B196" s="104"/>
      <c r="C196" s="34">
        <v>51.6</v>
      </c>
      <c r="D196" s="32">
        <v>26.81</v>
      </c>
      <c r="E196" s="2">
        <v>1.17</v>
      </c>
      <c r="F196" s="2">
        <v>5.35</v>
      </c>
      <c r="G196" s="2">
        <v>1.23</v>
      </c>
      <c r="H196" s="2">
        <v>20</v>
      </c>
      <c r="I196" s="2">
        <v>1</v>
      </c>
      <c r="J196" s="2">
        <v>0</v>
      </c>
      <c r="K196" s="6">
        <v>0.18</v>
      </c>
      <c r="L196" s="2">
        <v>49</v>
      </c>
      <c r="M196" s="7">
        <f t="shared" si="43"/>
        <v>551.26164599999981</v>
      </c>
      <c r="N196" s="8">
        <f t="shared" si="44"/>
        <v>82.00586469421485</v>
      </c>
      <c r="O196" s="9">
        <v>0</v>
      </c>
      <c r="P196" s="8">
        <f t="shared" si="45"/>
        <v>501.49936469421482</v>
      </c>
      <c r="Q196" s="36">
        <f>(M196/1.21-P196)/(M196/1.21)</f>
        <v>-0.10077353591183841</v>
      </c>
    </row>
    <row r="197" spans="2:17" ht="15.6" customHeight="1" x14ac:dyDescent="0.25">
      <c r="B197" s="104"/>
      <c r="C197" s="34">
        <v>65.64</v>
      </c>
      <c r="D197" s="32">
        <v>26.81</v>
      </c>
      <c r="E197" s="2">
        <v>1.19</v>
      </c>
      <c r="F197" s="2">
        <v>5.35</v>
      </c>
      <c r="G197" s="2">
        <v>1.23</v>
      </c>
      <c r="H197" s="2">
        <v>20</v>
      </c>
      <c r="I197" s="2">
        <v>1</v>
      </c>
      <c r="J197" s="2">
        <v>0</v>
      </c>
      <c r="K197" s="6">
        <v>0.18</v>
      </c>
      <c r="L197" s="2">
        <v>49</v>
      </c>
      <c r="M197" s="7">
        <f t="shared" si="43"/>
        <v>670.62928379999994</v>
      </c>
      <c r="N197" s="8">
        <f t="shared" si="44"/>
        <v>99.763033953719003</v>
      </c>
      <c r="O197" s="9">
        <v>0</v>
      </c>
      <c r="P197" s="8">
        <f t="shared" si="45"/>
        <v>594.3705339537189</v>
      </c>
      <c r="Q197" s="36">
        <f>(M197/1.21-P197)/(M197/1.21)</f>
        <v>-7.2408204438745585E-2</v>
      </c>
    </row>
    <row r="198" spans="2:17" ht="15.6" customHeight="1" thickBot="1" x14ac:dyDescent="0.3">
      <c r="B198" s="105"/>
      <c r="C198" s="34">
        <v>139.15</v>
      </c>
      <c r="D198" s="32">
        <v>26.81</v>
      </c>
      <c r="E198" s="2">
        <v>1.26</v>
      </c>
      <c r="F198" s="2">
        <v>5.35</v>
      </c>
      <c r="G198" s="2">
        <v>1.23</v>
      </c>
      <c r="H198" s="2">
        <v>20</v>
      </c>
      <c r="I198" s="2">
        <v>1</v>
      </c>
      <c r="J198" s="2">
        <v>0</v>
      </c>
      <c r="K198" s="6">
        <v>0.18</v>
      </c>
      <c r="L198" s="2">
        <v>49</v>
      </c>
      <c r="M198" s="7">
        <f t="shared" si="43"/>
        <v>1319.5810845000001</v>
      </c>
      <c r="N198" s="8">
        <f t="shared" si="44"/>
        <v>196.3013183553719</v>
      </c>
      <c r="O198" s="9">
        <v>0</v>
      </c>
      <c r="P198" s="8">
        <f t="shared" si="45"/>
        <v>1084.1873183553719</v>
      </c>
      <c r="Q198" s="36">
        <f>(M198/1.21-P198)/(M198/1.21)</f>
        <v>5.8461199395891932E-3</v>
      </c>
    </row>
    <row r="199" spans="2:17" ht="15.6" customHeight="1" thickBot="1" x14ac:dyDescent="0.3"/>
    <row r="200" spans="2:17" ht="15.6" customHeight="1" x14ac:dyDescent="0.3">
      <c r="B200" s="103" t="s">
        <v>80</v>
      </c>
      <c r="C200" s="106" t="s">
        <v>16</v>
      </c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9"/>
    </row>
    <row r="201" spans="2:17" ht="15.6" customHeight="1" x14ac:dyDescent="0.25">
      <c r="B201" s="104"/>
      <c r="C201" s="1" t="s">
        <v>1</v>
      </c>
      <c r="D201" s="32" t="s">
        <v>2</v>
      </c>
      <c r="E201" s="2" t="s">
        <v>3</v>
      </c>
      <c r="F201" s="2" t="s">
        <v>4</v>
      </c>
      <c r="G201" s="2" t="s">
        <v>5</v>
      </c>
      <c r="H201" s="2" t="s">
        <v>6</v>
      </c>
      <c r="I201" s="2" t="s">
        <v>7</v>
      </c>
      <c r="J201" s="2" t="s">
        <v>8</v>
      </c>
      <c r="K201" s="2" t="s">
        <v>9</v>
      </c>
      <c r="L201" s="2" t="s">
        <v>10</v>
      </c>
      <c r="M201" s="2" t="s">
        <v>11</v>
      </c>
      <c r="N201" s="2" t="s">
        <v>12</v>
      </c>
      <c r="O201" s="2" t="s">
        <v>13</v>
      </c>
      <c r="P201" s="2" t="s">
        <v>14</v>
      </c>
      <c r="Q201" s="3" t="s">
        <v>15</v>
      </c>
    </row>
    <row r="202" spans="2:17" ht="15.6" customHeight="1" x14ac:dyDescent="0.25">
      <c r="B202" s="104"/>
      <c r="C202" s="34">
        <v>20</v>
      </c>
      <c r="D202" s="32">
        <v>31.81</v>
      </c>
      <c r="E202" s="2">
        <v>1.29</v>
      </c>
      <c r="F202" s="2">
        <v>5.35</v>
      </c>
      <c r="G202" s="2">
        <v>1.23</v>
      </c>
      <c r="H202" s="2">
        <v>15</v>
      </c>
      <c r="I202" s="2">
        <v>1</v>
      </c>
      <c r="J202" s="2">
        <v>0</v>
      </c>
      <c r="K202" s="6">
        <v>0.18</v>
      </c>
      <c r="L202" s="2">
        <v>0</v>
      </c>
      <c r="M202" s="7">
        <f>(C202+H202)*E202*F202*G202*I202+J202</f>
        <v>297.10957499999995</v>
      </c>
      <c r="N202" s="8">
        <f>(M202/1.21)*0.18</f>
        <v>44.198118595041315</v>
      </c>
      <c r="O202" s="9">
        <v>0</v>
      </c>
      <c r="P202" s="8">
        <f>(1-O202)*C202*F202+(D202*F202)+N202</f>
        <v>321.38161859504129</v>
      </c>
      <c r="Q202" s="36">
        <f>(M202/1.21-P202)/(M202/1.21)</f>
        <v>-0.30884963401129034</v>
      </c>
    </row>
    <row r="203" spans="2:17" ht="15.6" customHeight="1" x14ac:dyDescent="0.25">
      <c r="B203" s="104"/>
      <c r="C203" s="34">
        <v>35</v>
      </c>
      <c r="D203" s="32">
        <v>31.81</v>
      </c>
      <c r="E203" s="2">
        <v>1.3</v>
      </c>
      <c r="F203" s="2">
        <v>5.35</v>
      </c>
      <c r="G203" s="2">
        <v>1.23</v>
      </c>
      <c r="H203" s="2">
        <v>15</v>
      </c>
      <c r="I203" s="2">
        <v>1</v>
      </c>
      <c r="J203" s="2">
        <v>0</v>
      </c>
      <c r="K203" s="6">
        <v>0.18</v>
      </c>
      <c r="L203" s="2">
        <v>0</v>
      </c>
      <c r="M203" s="7">
        <f t="shared" ref="M203:M206" si="46">(C203+H203)*E203*F203*G203*I203+J203</f>
        <v>427.73250000000002</v>
      </c>
      <c r="N203" s="8">
        <f t="shared" ref="N203:N206" si="47">(M203/1.21)*0.18</f>
        <v>63.629628099173551</v>
      </c>
      <c r="O203" s="9">
        <v>0</v>
      </c>
      <c r="P203" s="8">
        <f>(1-O203)*C203*F203+(D203*F203)+N203</f>
        <v>421.06312809917353</v>
      </c>
      <c r="Q203" s="36">
        <f>(M203/1.21-P203)/(M203/1.21)</f>
        <v>-0.19113320825515934</v>
      </c>
    </row>
    <row r="204" spans="2:17" ht="15.6" customHeight="1" x14ac:dyDescent="0.25">
      <c r="B204" s="104"/>
      <c r="C204" s="34">
        <v>43.99</v>
      </c>
      <c r="D204" s="32">
        <v>31.81</v>
      </c>
      <c r="E204" s="2">
        <v>1.31</v>
      </c>
      <c r="F204" s="2">
        <v>5.35</v>
      </c>
      <c r="G204" s="2">
        <v>1.23</v>
      </c>
      <c r="H204" s="2">
        <v>15</v>
      </c>
      <c r="I204" s="2">
        <v>1</v>
      </c>
      <c r="J204" s="2">
        <v>0</v>
      </c>
      <c r="K204" s="6">
        <v>0.18</v>
      </c>
      <c r="L204" s="2">
        <v>0</v>
      </c>
      <c r="M204" s="7">
        <f t="shared" si="46"/>
        <v>508.52064045000003</v>
      </c>
      <c r="N204" s="8">
        <f t="shared" si="47"/>
        <v>75.647698579338851</v>
      </c>
      <c r="O204" s="9">
        <v>0</v>
      </c>
      <c r="P204" s="8">
        <f>(1-O204)*C204*F204+(D204*F204)+N204</f>
        <v>481.17769857933882</v>
      </c>
      <c r="Q204" s="36">
        <f>(M204/1.21-P204)/(M204/1.21)</f>
        <v>-0.1449388067429819</v>
      </c>
    </row>
    <row r="205" spans="2:17" ht="15.6" customHeight="1" x14ac:dyDescent="0.25">
      <c r="B205" s="104"/>
      <c r="C205" s="34">
        <v>130</v>
      </c>
      <c r="D205" s="32">
        <v>31.81</v>
      </c>
      <c r="E205" s="2">
        <v>1.24</v>
      </c>
      <c r="F205" s="2">
        <v>5.35</v>
      </c>
      <c r="G205" s="2">
        <v>1.23</v>
      </c>
      <c r="H205" s="2">
        <v>15</v>
      </c>
      <c r="I205" s="2">
        <v>1</v>
      </c>
      <c r="J205" s="2">
        <v>0</v>
      </c>
      <c r="K205" s="6">
        <v>0.18</v>
      </c>
      <c r="L205" s="2">
        <v>0</v>
      </c>
      <c r="M205" s="7">
        <f t="shared" si="46"/>
        <v>1183.1739</v>
      </c>
      <c r="N205" s="8">
        <f t="shared" si="47"/>
        <v>176.00934049586778</v>
      </c>
      <c r="O205" s="9">
        <v>0</v>
      </c>
      <c r="P205" s="8">
        <f>(1-O205)*C205*F205+(D205*F205)+N205</f>
        <v>1041.6928404958678</v>
      </c>
      <c r="Q205" s="36">
        <f>(M205/1.21-P205)/(M205/1.21)</f>
        <v>-6.531114065311952E-2</v>
      </c>
    </row>
    <row r="206" spans="2:17" ht="15.6" customHeight="1" x14ac:dyDescent="0.25">
      <c r="B206" s="104"/>
      <c r="C206" s="34">
        <v>140</v>
      </c>
      <c r="D206" s="32">
        <v>31.81</v>
      </c>
      <c r="E206" s="2">
        <v>1.25</v>
      </c>
      <c r="F206" s="2">
        <v>5.35</v>
      </c>
      <c r="G206" s="2">
        <v>1.23</v>
      </c>
      <c r="H206" s="2">
        <v>15</v>
      </c>
      <c r="I206" s="2">
        <v>1</v>
      </c>
      <c r="J206" s="2">
        <v>0</v>
      </c>
      <c r="K206" s="6">
        <v>0.18</v>
      </c>
      <c r="L206" s="2">
        <v>0</v>
      </c>
      <c r="M206" s="7">
        <f t="shared" si="46"/>
        <v>1274.971875</v>
      </c>
      <c r="N206" s="8">
        <f t="shared" si="47"/>
        <v>189.66523760330577</v>
      </c>
      <c r="O206" s="9">
        <v>0</v>
      </c>
      <c r="P206" s="8">
        <f>(1-O206)*C206*F206+(D206*F206)+N206</f>
        <v>1108.8487376033058</v>
      </c>
      <c r="Q206" s="36">
        <f>(M206/1.21-P206)/(M206/1.21)</f>
        <v>-5.2342407553107907E-2</v>
      </c>
    </row>
    <row r="207" spans="2:17" ht="15.6" customHeight="1" x14ac:dyDescent="0.25">
      <c r="B207" s="104"/>
      <c r="Q207" s="18"/>
    </row>
    <row r="208" spans="2:17" ht="15.6" customHeight="1" x14ac:dyDescent="0.3">
      <c r="B208" s="104"/>
      <c r="C208" s="107" t="s">
        <v>17</v>
      </c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9"/>
    </row>
    <row r="209" spans="2:17" ht="15.6" customHeight="1" x14ac:dyDescent="0.25">
      <c r="B209" s="104"/>
      <c r="C209" s="1" t="s">
        <v>1</v>
      </c>
      <c r="D209" s="32" t="s">
        <v>2</v>
      </c>
      <c r="E209" s="2" t="s">
        <v>3</v>
      </c>
      <c r="F209" s="2" t="s">
        <v>4</v>
      </c>
      <c r="G209" s="2" t="s">
        <v>5</v>
      </c>
      <c r="H209" s="2" t="s">
        <v>6</v>
      </c>
      <c r="I209" s="2" t="s">
        <v>7</v>
      </c>
      <c r="J209" s="2" t="s">
        <v>8</v>
      </c>
      <c r="K209" s="2" t="s">
        <v>9</v>
      </c>
      <c r="L209" s="2" t="s">
        <v>10</v>
      </c>
      <c r="M209" s="2" t="s">
        <v>11</v>
      </c>
      <c r="N209" s="2" t="s">
        <v>12</v>
      </c>
      <c r="O209" s="2" t="s">
        <v>13</v>
      </c>
      <c r="P209" s="2" t="s">
        <v>14</v>
      </c>
      <c r="Q209" s="3" t="s">
        <v>15</v>
      </c>
    </row>
    <row r="210" spans="2:17" ht="15.6" customHeight="1" x14ac:dyDescent="0.25">
      <c r="B210" s="104"/>
      <c r="C210" s="34">
        <v>20</v>
      </c>
      <c r="D210" s="32">
        <v>22.31</v>
      </c>
      <c r="E210" s="2">
        <v>1.01</v>
      </c>
      <c r="F210" s="2">
        <v>5.35</v>
      </c>
      <c r="G210" s="2">
        <v>1.23</v>
      </c>
      <c r="H210" s="2">
        <v>10</v>
      </c>
      <c r="I210" s="2">
        <v>1</v>
      </c>
      <c r="J210" s="2">
        <v>0</v>
      </c>
      <c r="K210" s="6">
        <v>0.18</v>
      </c>
      <c r="L210" s="2">
        <v>49</v>
      </c>
      <c r="M210" s="7">
        <f>(C210+H210)*E210*F210*G210*I210+J210</f>
        <v>199.38914999999997</v>
      </c>
      <c r="N210" s="8">
        <f>(M210/1.21)*0.18</f>
        <v>29.661195867768591</v>
      </c>
      <c r="O210" s="9">
        <v>0</v>
      </c>
      <c r="P210" s="8">
        <f>(1-O210)*C210*F210+(D210*F210)+N210</f>
        <v>256.01969586776858</v>
      </c>
      <c r="Q210" s="36">
        <f>(M210/1.21-P210)/(M210/1.21)</f>
        <v>-0.55366443961469325</v>
      </c>
    </row>
    <row r="211" spans="2:17" ht="15.6" customHeight="1" x14ac:dyDescent="0.25">
      <c r="B211" s="104"/>
      <c r="C211" s="34">
        <v>35</v>
      </c>
      <c r="D211" s="32">
        <v>22.31</v>
      </c>
      <c r="E211" s="2">
        <v>1.1100000000000001</v>
      </c>
      <c r="F211" s="2">
        <v>5.35</v>
      </c>
      <c r="G211" s="2">
        <v>1.23</v>
      </c>
      <c r="H211" s="2">
        <v>10</v>
      </c>
      <c r="I211" s="2">
        <v>1</v>
      </c>
      <c r="J211" s="2">
        <v>0</v>
      </c>
      <c r="K211" s="6">
        <v>0.18</v>
      </c>
      <c r="L211" s="2">
        <v>49</v>
      </c>
      <c r="M211" s="7">
        <f t="shared" ref="M211:M214" si="48">(C211+H211)*E211*F211*G211*I211+J211</f>
        <v>328.69597500000003</v>
      </c>
      <c r="N211" s="8">
        <f t="shared" ref="N211:N214" si="49">(M211/1.21)*0.18</f>
        <v>48.896921900826449</v>
      </c>
      <c r="O211" s="9">
        <v>0</v>
      </c>
      <c r="P211" s="8">
        <f t="shared" ref="P211:P214" si="50">(1-O211)*C211*F211+(D211*F211)+N211</f>
        <v>355.50542190082643</v>
      </c>
      <c r="Q211" s="36">
        <f>(M211/1.21-P211)/(M211/1.21)</f>
        <v>-0.30869129291893505</v>
      </c>
    </row>
    <row r="212" spans="2:17" ht="15.6" customHeight="1" x14ac:dyDescent="0.25">
      <c r="B212" s="104"/>
      <c r="C212" s="34">
        <v>43.99</v>
      </c>
      <c r="D212" s="32">
        <v>22.31</v>
      </c>
      <c r="E212" s="2">
        <v>1.21</v>
      </c>
      <c r="F212" s="2">
        <v>5.35</v>
      </c>
      <c r="G212" s="2">
        <v>1.23</v>
      </c>
      <c r="H212" s="2">
        <v>10</v>
      </c>
      <c r="I212" s="2">
        <v>1</v>
      </c>
      <c r="J212" s="2">
        <v>0</v>
      </c>
      <c r="K212" s="6">
        <v>0.18</v>
      </c>
      <c r="L212" s="2">
        <v>49</v>
      </c>
      <c r="M212" s="7">
        <f t="shared" si="48"/>
        <v>429.89024594999995</v>
      </c>
      <c r="N212" s="8">
        <f t="shared" si="49"/>
        <v>63.950615099999993</v>
      </c>
      <c r="O212" s="9">
        <v>0</v>
      </c>
      <c r="P212" s="8">
        <f t="shared" si="50"/>
        <v>418.65561509999998</v>
      </c>
      <c r="Q212" s="36">
        <f>(M212/1.21-P212)/(M212/1.21)</f>
        <v>-0.17837820011835981</v>
      </c>
    </row>
    <row r="213" spans="2:17" ht="15.6" customHeight="1" x14ac:dyDescent="0.25">
      <c r="B213" s="104"/>
      <c r="C213" s="34">
        <v>130</v>
      </c>
      <c r="D213" s="32">
        <v>22.31</v>
      </c>
      <c r="E213" s="2">
        <v>1.27</v>
      </c>
      <c r="F213" s="2">
        <v>5.35</v>
      </c>
      <c r="G213" s="2">
        <v>1.23</v>
      </c>
      <c r="H213" s="2">
        <v>10</v>
      </c>
      <c r="I213" s="2">
        <v>1</v>
      </c>
      <c r="J213" s="2">
        <v>0</v>
      </c>
      <c r="K213" s="6">
        <v>0.18</v>
      </c>
      <c r="L213" s="2">
        <v>49</v>
      </c>
      <c r="M213" s="7">
        <f t="shared" si="48"/>
        <v>1170.0128999999999</v>
      </c>
      <c r="N213" s="8">
        <f t="shared" si="49"/>
        <v>174.05150578512396</v>
      </c>
      <c r="O213" s="9">
        <v>0</v>
      </c>
      <c r="P213" s="8">
        <f t="shared" si="50"/>
        <v>988.91000578512399</v>
      </c>
      <c r="Q213" s="36">
        <f>(M213/1.21-P213)/(M213/1.21)</f>
        <v>-2.2707618864715121E-2</v>
      </c>
    </row>
    <row r="214" spans="2:17" ht="15.6" customHeight="1" thickBot="1" x14ac:dyDescent="0.3">
      <c r="B214" s="105"/>
      <c r="C214" s="34">
        <v>140</v>
      </c>
      <c r="D214" s="32">
        <v>22.31</v>
      </c>
      <c r="E214" s="2">
        <v>1.27</v>
      </c>
      <c r="F214" s="2">
        <v>5.35</v>
      </c>
      <c r="G214" s="2">
        <v>1.23</v>
      </c>
      <c r="H214" s="2">
        <v>10</v>
      </c>
      <c r="I214" s="2">
        <v>1</v>
      </c>
      <c r="J214" s="2">
        <v>0</v>
      </c>
      <c r="K214" s="6">
        <v>0.18</v>
      </c>
      <c r="L214" s="2">
        <v>49</v>
      </c>
      <c r="M214" s="7">
        <f t="shared" si="48"/>
        <v>1253.5852499999999</v>
      </c>
      <c r="N214" s="8">
        <f t="shared" si="49"/>
        <v>186.48375619834709</v>
      </c>
      <c r="O214" s="9">
        <v>0</v>
      </c>
      <c r="P214" s="8">
        <f t="shared" si="50"/>
        <v>1054.8422561983471</v>
      </c>
      <c r="Q214" s="36">
        <f>(M214/1.21-P214)/(M214/1.21)</f>
        <v>-1.8166997418005617E-2</v>
      </c>
    </row>
    <row r="215" spans="2:17" ht="15.6" customHeight="1" thickBot="1" x14ac:dyDescent="0.3"/>
    <row r="216" spans="2:17" ht="15.6" hidden="1" customHeight="1" x14ac:dyDescent="0.3">
      <c r="B216" s="103" t="s">
        <v>81</v>
      </c>
      <c r="C216" s="106" t="s">
        <v>16</v>
      </c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9"/>
    </row>
    <row r="217" spans="2:17" ht="15.6" hidden="1" customHeight="1" x14ac:dyDescent="0.25">
      <c r="B217" s="104"/>
      <c r="C217" s="1" t="s">
        <v>1</v>
      </c>
      <c r="D217" s="3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2" t="s">
        <v>8</v>
      </c>
      <c r="K217" s="2" t="s">
        <v>9</v>
      </c>
      <c r="L217" s="2" t="s">
        <v>10</v>
      </c>
      <c r="M217" s="2" t="s">
        <v>11</v>
      </c>
      <c r="N217" s="2" t="s">
        <v>12</v>
      </c>
      <c r="O217" s="2" t="s">
        <v>13</v>
      </c>
      <c r="P217" s="2" t="s">
        <v>14</v>
      </c>
      <c r="Q217" s="3" t="s">
        <v>15</v>
      </c>
    </row>
    <row r="218" spans="2:17" ht="15.6" hidden="1" customHeight="1" x14ac:dyDescent="0.25">
      <c r="B218" s="104"/>
      <c r="C218" s="34">
        <v>20</v>
      </c>
      <c r="D218" s="32">
        <v>53.33</v>
      </c>
      <c r="E218" s="2">
        <v>1.29</v>
      </c>
      <c r="F218" s="2">
        <v>5.35</v>
      </c>
      <c r="G218" s="2">
        <v>1.23</v>
      </c>
      <c r="H218" s="2">
        <v>15</v>
      </c>
      <c r="I218" s="2">
        <v>1</v>
      </c>
      <c r="J218" s="2">
        <v>0</v>
      </c>
      <c r="K218" s="6">
        <v>0.18</v>
      </c>
      <c r="L218" s="20">
        <v>0</v>
      </c>
      <c r="M218" s="7">
        <f>(C218+H218)*E218*F218*G218*I218+J218+L218</f>
        <v>297.10957499999995</v>
      </c>
      <c r="N218" s="8">
        <f>((M218/1.21)-L218)*0.18</f>
        <v>44.198118595041315</v>
      </c>
      <c r="O218" s="9">
        <v>0</v>
      </c>
      <c r="P218" s="8">
        <f>(1-O218)*C218*F218+(D218*F218)+N218</f>
        <v>436.51361859504129</v>
      </c>
      <c r="Q218" s="36">
        <f>(M218/1.21-P218)/(M218/1.21)</f>
        <v>-0.77773294078455746</v>
      </c>
    </row>
    <row r="219" spans="2:17" ht="15.6" hidden="1" customHeight="1" x14ac:dyDescent="0.25">
      <c r="B219" s="104"/>
      <c r="C219" s="34">
        <v>35</v>
      </c>
      <c r="D219" s="32">
        <v>53.33</v>
      </c>
      <c r="E219" s="2">
        <v>1.3</v>
      </c>
      <c r="F219" s="2">
        <v>5.35</v>
      </c>
      <c r="G219" s="2">
        <v>1.23</v>
      </c>
      <c r="H219" s="2">
        <v>15</v>
      </c>
      <c r="I219" s="2">
        <v>1</v>
      </c>
      <c r="J219" s="2">
        <v>0</v>
      </c>
      <c r="K219" s="6">
        <v>0.18</v>
      </c>
      <c r="L219" s="20">
        <v>0</v>
      </c>
      <c r="M219" s="7">
        <f>(C219+H219)*E219*F219*G219*I219+J219+L219</f>
        <v>427.73250000000002</v>
      </c>
      <c r="N219" s="8">
        <f>((M219/1.21)-L219)*0.18</f>
        <v>63.629628099173551</v>
      </c>
      <c r="O219" s="9">
        <v>0</v>
      </c>
      <c r="P219" s="8">
        <f t="shared" ref="P219:P222" si="51">(1-O219)*C219*F219+(D219*F219)+N219</f>
        <v>536.19512809917353</v>
      </c>
      <c r="Q219" s="36">
        <f>(M219/1.21-P219)/(M219/1.21)</f>
        <v>-0.51682676672920558</v>
      </c>
    </row>
    <row r="220" spans="2:17" ht="15.6" hidden="1" customHeight="1" x14ac:dyDescent="0.25">
      <c r="B220" s="104"/>
      <c r="C220" s="34">
        <v>43.99</v>
      </c>
      <c r="D220" s="32">
        <v>53.33</v>
      </c>
      <c r="E220" s="2">
        <v>1.31</v>
      </c>
      <c r="F220" s="2">
        <v>5.35</v>
      </c>
      <c r="G220" s="2">
        <v>1.23</v>
      </c>
      <c r="H220" s="2">
        <v>15</v>
      </c>
      <c r="I220" s="2">
        <v>1</v>
      </c>
      <c r="J220" s="2">
        <v>0</v>
      </c>
      <c r="K220" s="6">
        <v>0.18</v>
      </c>
      <c r="L220" s="20">
        <v>0</v>
      </c>
      <c r="M220" s="7">
        <f>(C220+H220)*E220*F220*G220*I220+J220+L220</f>
        <v>508.52064045000003</v>
      </c>
      <c r="N220" s="8">
        <f>((M220/1.21)-L220)*0.18</f>
        <v>75.647698579338851</v>
      </c>
      <c r="O220" s="9">
        <v>0</v>
      </c>
      <c r="P220" s="8">
        <f t="shared" si="51"/>
        <v>596.30969857933883</v>
      </c>
      <c r="Q220" s="36">
        <f>(M220/1.21-P220)/(M220/1.21)</f>
        <v>-0.41888977140141159</v>
      </c>
    </row>
    <row r="221" spans="2:17" ht="15.6" hidden="1" customHeight="1" x14ac:dyDescent="0.25">
      <c r="B221" s="104"/>
      <c r="C221" s="34">
        <v>130</v>
      </c>
      <c r="D221" s="32">
        <v>53.33</v>
      </c>
      <c r="E221" s="2">
        <v>1.24</v>
      </c>
      <c r="F221" s="2">
        <v>5.35</v>
      </c>
      <c r="G221" s="2">
        <v>1.23</v>
      </c>
      <c r="H221" s="2">
        <v>15</v>
      </c>
      <c r="I221" s="2">
        <v>1</v>
      </c>
      <c r="J221" s="2">
        <v>0</v>
      </c>
      <c r="K221" s="6">
        <v>0.18</v>
      </c>
      <c r="L221" s="20">
        <v>0</v>
      </c>
      <c r="M221" s="7">
        <f>(C221+H221)*E221*F221*G221*I221+J221+L221</f>
        <v>1183.1739</v>
      </c>
      <c r="N221" s="8">
        <f>((M221/1.21)-L221)*0.18</f>
        <v>176.00934049586778</v>
      </c>
      <c r="O221" s="9">
        <v>0</v>
      </c>
      <c r="P221" s="8">
        <f t="shared" si="51"/>
        <v>1156.8248404958676</v>
      </c>
      <c r="Q221" s="36">
        <f>(M221/1.21-P221)/(M221/1.21)</f>
        <v>-0.1830535283105888</v>
      </c>
    </row>
    <row r="222" spans="2:17" ht="15.6" hidden="1" customHeight="1" x14ac:dyDescent="0.25">
      <c r="B222" s="104"/>
      <c r="C222" s="34">
        <v>140</v>
      </c>
      <c r="D222" s="32">
        <v>53.33</v>
      </c>
      <c r="E222" s="2">
        <v>1.25</v>
      </c>
      <c r="F222" s="2">
        <v>5.35</v>
      </c>
      <c r="G222" s="2">
        <v>1.23</v>
      </c>
      <c r="H222" s="2">
        <v>15</v>
      </c>
      <c r="I222" s="2">
        <v>1</v>
      </c>
      <c r="J222" s="2">
        <v>0</v>
      </c>
      <c r="K222" s="6">
        <v>0.18</v>
      </c>
      <c r="L222" s="20">
        <v>0</v>
      </c>
      <c r="M222" s="7">
        <f>(C222+H222)*E222*F222*G222*I222+J222+L222</f>
        <v>1274.971875</v>
      </c>
      <c r="N222" s="8">
        <f>((M222/1.21)-L222)*0.18</f>
        <v>189.66523760330577</v>
      </c>
      <c r="O222" s="9">
        <v>0</v>
      </c>
      <c r="P222" s="8">
        <f t="shared" si="51"/>
        <v>1223.9807376033057</v>
      </c>
      <c r="Q222" s="36">
        <f>(M222/1.21-P222)/(M222/1.21)</f>
        <v>-0.1616073432992394</v>
      </c>
    </row>
    <row r="223" spans="2:17" ht="15.6" hidden="1" customHeight="1" x14ac:dyDescent="0.25">
      <c r="B223" s="104"/>
      <c r="Q223" s="18"/>
    </row>
    <row r="224" spans="2:17" ht="15.6" hidden="1" customHeight="1" x14ac:dyDescent="0.3">
      <c r="B224" s="104"/>
      <c r="C224" s="107" t="s">
        <v>17</v>
      </c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9"/>
    </row>
    <row r="225" spans="2:17" ht="15.6" hidden="1" customHeight="1" x14ac:dyDescent="0.25">
      <c r="B225" s="104"/>
      <c r="C225" s="1" t="s">
        <v>1</v>
      </c>
      <c r="D225" s="32" t="s">
        <v>2</v>
      </c>
      <c r="E225" s="2" t="s">
        <v>3</v>
      </c>
      <c r="F225" s="2" t="s">
        <v>4</v>
      </c>
      <c r="G225" s="2" t="s">
        <v>5</v>
      </c>
      <c r="H225" s="2" t="s">
        <v>6</v>
      </c>
      <c r="I225" s="2" t="s">
        <v>7</v>
      </c>
      <c r="J225" s="2" t="s">
        <v>8</v>
      </c>
      <c r="K225" s="2" t="s">
        <v>9</v>
      </c>
      <c r="L225" s="2" t="s">
        <v>10</v>
      </c>
      <c r="M225" s="2" t="s">
        <v>11</v>
      </c>
      <c r="N225" s="2" t="s">
        <v>12</v>
      </c>
      <c r="O225" s="2" t="s">
        <v>13</v>
      </c>
      <c r="P225" s="2" t="s">
        <v>14</v>
      </c>
      <c r="Q225" s="3" t="s">
        <v>15</v>
      </c>
    </row>
    <row r="226" spans="2:17" ht="15.6" hidden="1" customHeight="1" x14ac:dyDescent="0.25">
      <c r="B226" s="104"/>
      <c r="C226" s="34">
        <v>20</v>
      </c>
      <c r="D226" s="32">
        <v>53.33</v>
      </c>
      <c r="E226" s="2">
        <v>1.01</v>
      </c>
      <c r="F226" s="2">
        <v>5.35</v>
      </c>
      <c r="G226" s="2">
        <v>1.23</v>
      </c>
      <c r="H226" s="2">
        <v>10</v>
      </c>
      <c r="I226" s="2">
        <v>1</v>
      </c>
      <c r="J226" s="2">
        <v>0</v>
      </c>
      <c r="K226" s="6">
        <v>0.18</v>
      </c>
      <c r="L226" s="2">
        <v>80</v>
      </c>
      <c r="M226" s="7">
        <f>(C226+H226)*E226*F226*G226*I226+J226+L226</f>
        <v>279.38914999999997</v>
      </c>
      <c r="N226" s="8">
        <f>((M226/1.21)-L226)*0.18</f>
        <v>27.162022314049587</v>
      </c>
      <c r="O226" s="9">
        <v>0</v>
      </c>
      <c r="P226" s="8">
        <f>(1-O226)*C226*F226+(D226*F226)+N226</f>
        <v>419.47752231404957</v>
      </c>
      <c r="Q226" s="36">
        <f>(M226/1.21-P226)/(M226/1.21)</f>
        <v>-0.81670548766836504</v>
      </c>
    </row>
    <row r="227" spans="2:17" ht="15.6" hidden="1" customHeight="1" x14ac:dyDescent="0.25">
      <c r="B227" s="104"/>
      <c r="C227" s="34">
        <v>35</v>
      </c>
      <c r="D227" s="32">
        <v>53.33</v>
      </c>
      <c r="E227" s="2">
        <v>1.1100000000000001</v>
      </c>
      <c r="F227" s="2">
        <v>5.35</v>
      </c>
      <c r="G227" s="2">
        <v>1.23</v>
      </c>
      <c r="H227" s="2">
        <v>10</v>
      </c>
      <c r="I227" s="2">
        <v>1</v>
      </c>
      <c r="J227" s="2">
        <v>0</v>
      </c>
      <c r="K227" s="6">
        <v>0.18</v>
      </c>
      <c r="L227" s="2">
        <v>80</v>
      </c>
      <c r="M227" s="7">
        <f>(C227+H227)*E227*F227*G227*I227+J227+L227</f>
        <v>408.69597500000003</v>
      </c>
      <c r="N227" s="8">
        <f>((M227/1.21)-L227)*0.18</f>
        <v>46.397748347107438</v>
      </c>
      <c r="O227" s="9">
        <v>0</v>
      </c>
      <c r="P227" s="8">
        <f t="shared" ref="P227:P230" si="52">(1-O227)*C227*F227+(D227*F227)+N227</f>
        <v>518.96324834710742</v>
      </c>
      <c r="Q227" s="36">
        <f>(M227/1.21-P227)/(M227/1.21)</f>
        <v>-0.53646125460374294</v>
      </c>
    </row>
    <row r="228" spans="2:17" ht="15.6" hidden="1" customHeight="1" x14ac:dyDescent="0.25">
      <c r="B228" s="104"/>
      <c r="C228" s="34">
        <v>43.99</v>
      </c>
      <c r="D228" s="32">
        <v>53.33</v>
      </c>
      <c r="E228" s="2">
        <v>1.21</v>
      </c>
      <c r="F228" s="2">
        <v>5.35</v>
      </c>
      <c r="G228" s="2">
        <v>1.23</v>
      </c>
      <c r="H228" s="2">
        <v>10</v>
      </c>
      <c r="I228" s="2">
        <v>1</v>
      </c>
      <c r="J228" s="2">
        <v>0</v>
      </c>
      <c r="K228" s="6">
        <v>0.18</v>
      </c>
      <c r="L228" s="2">
        <v>80</v>
      </c>
      <c r="M228" s="7">
        <f>(C228+H228)*E228*F228*G228*I228+J228+L228</f>
        <v>509.89024594999995</v>
      </c>
      <c r="N228" s="8">
        <f>((M228/1.21)-L228)*0.18</f>
        <v>61.451441546280982</v>
      </c>
      <c r="O228" s="9">
        <v>0</v>
      </c>
      <c r="P228" s="8">
        <f t="shared" si="52"/>
        <v>582.11344154628102</v>
      </c>
      <c r="Q228" s="36">
        <f>(M228/1.21-P228)/(M228/1.21)</f>
        <v>-0.38138995571229184</v>
      </c>
    </row>
    <row r="229" spans="2:17" ht="15.6" hidden="1" customHeight="1" x14ac:dyDescent="0.25">
      <c r="B229" s="104"/>
      <c r="C229" s="34">
        <v>130</v>
      </c>
      <c r="D229" s="32">
        <v>53.33</v>
      </c>
      <c r="E229" s="2">
        <v>1.27</v>
      </c>
      <c r="F229" s="2">
        <v>5.35</v>
      </c>
      <c r="G229" s="2">
        <v>1.23</v>
      </c>
      <c r="H229" s="2">
        <v>10</v>
      </c>
      <c r="I229" s="2">
        <v>1</v>
      </c>
      <c r="J229" s="2">
        <v>0</v>
      </c>
      <c r="K229" s="6">
        <v>0.18</v>
      </c>
      <c r="L229" s="2">
        <v>210</v>
      </c>
      <c r="M229" s="7">
        <f>(C229+H229)*E229*F229*G229*I229+J229+L229</f>
        <v>1380.0128999999999</v>
      </c>
      <c r="N229" s="8">
        <f>((M229/1.21)-L229)*0.18</f>
        <v>167.49117520661159</v>
      </c>
      <c r="O229" s="9">
        <v>0</v>
      </c>
      <c r="P229" s="8">
        <f t="shared" si="52"/>
        <v>1148.3066752066115</v>
      </c>
      <c r="Q229" s="36">
        <f>(M229/1.21-P229)/(M229/1.21)</f>
        <v>-6.8391947640488362E-3</v>
      </c>
    </row>
    <row r="230" spans="2:17" ht="15.6" hidden="1" customHeight="1" thickBot="1" x14ac:dyDescent="0.3">
      <c r="B230" s="105"/>
      <c r="C230" s="34">
        <v>140</v>
      </c>
      <c r="D230" s="32">
        <v>53.33</v>
      </c>
      <c r="E230" s="2">
        <v>1.27</v>
      </c>
      <c r="F230" s="2">
        <v>5.35</v>
      </c>
      <c r="G230" s="2">
        <v>1.23</v>
      </c>
      <c r="H230" s="2">
        <v>10</v>
      </c>
      <c r="I230" s="2">
        <v>1</v>
      </c>
      <c r="J230" s="2">
        <v>0</v>
      </c>
      <c r="K230" s="6">
        <v>0.18</v>
      </c>
      <c r="L230" s="2">
        <v>210</v>
      </c>
      <c r="M230" s="7">
        <f>(C230+H230)*E230*F230*G230*I230+J230+L230</f>
        <v>1463.5852499999999</v>
      </c>
      <c r="N230" s="8">
        <f>((M230/1.21)-L230)*0.18</f>
        <v>179.92342561983469</v>
      </c>
      <c r="O230" s="9">
        <v>0</v>
      </c>
      <c r="P230" s="8">
        <f t="shared" si="52"/>
        <v>1214.2389256198346</v>
      </c>
      <c r="Q230" s="36">
        <f>(M230/1.21-P230)/(M230/1.21)</f>
        <v>-3.8561812508017602E-3</v>
      </c>
    </row>
    <row r="231" spans="2:17" ht="15.6" hidden="1" customHeight="1" thickBot="1" x14ac:dyDescent="0.3"/>
    <row r="232" spans="2:17" ht="15.6" hidden="1" customHeight="1" x14ac:dyDescent="0.3">
      <c r="B232" s="103" t="s">
        <v>82</v>
      </c>
      <c r="C232" s="106" t="s">
        <v>16</v>
      </c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9"/>
    </row>
    <row r="233" spans="2:17" ht="15.6" hidden="1" customHeight="1" x14ac:dyDescent="0.25">
      <c r="B233" s="104"/>
      <c r="C233" s="1" t="s">
        <v>1</v>
      </c>
      <c r="D233" s="32" t="s">
        <v>2</v>
      </c>
      <c r="E233" s="2" t="s">
        <v>3</v>
      </c>
      <c r="F233" s="2" t="s">
        <v>4</v>
      </c>
      <c r="G233" s="2" t="s">
        <v>5</v>
      </c>
      <c r="H233" s="2" t="s">
        <v>6</v>
      </c>
      <c r="I233" s="2" t="s">
        <v>7</v>
      </c>
      <c r="J233" s="2" t="s">
        <v>8</v>
      </c>
      <c r="K233" s="2" t="s">
        <v>9</v>
      </c>
      <c r="L233" s="2" t="s">
        <v>10</v>
      </c>
      <c r="M233" s="2" t="s">
        <v>11</v>
      </c>
      <c r="N233" s="2" t="s">
        <v>12</v>
      </c>
      <c r="O233" s="2" t="s">
        <v>13</v>
      </c>
      <c r="P233" s="2" t="s">
        <v>14</v>
      </c>
      <c r="Q233" s="3" t="s">
        <v>15</v>
      </c>
    </row>
    <row r="234" spans="2:17" ht="15.6" hidden="1" customHeight="1" x14ac:dyDescent="0.25">
      <c r="B234" s="104"/>
      <c r="C234" s="34">
        <v>20</v>
      </c>
      <c r="D234" s="32">
        <v>78.86</v>
      </c>
      <c r="E234" s="2">
        <v>1.29</v>
      </c>
      <c r="F234" s="2">
        <v>5.35</v>
      </c>
      <c r="G234" s="2">
        <v>1.23</v>
      </c>
      <c r="H234" s="2">
        <v>15</v>
      </c>
      <c r="I234" s="2">
        <v>1</v>
      </c>
      <c r="J234" s="2">
        <v>0</v>
      </c>
      <c r="K234" s="6">
        <v>0.18</v>
      </c>
      <c r="L234" s="2">
        <v>210</v>
      </c>
      <c r="M234" s="7">
        <f>(C234+H234)*E234*F234*G234*I234+J234+L234</f>
        <v>507.10957499999995</v>
      </c>
      <c r="N234" s="8">
        <f>((M234/1.21)-L234)*0.18</f>
        <v>37.637788016528923</v>
      </c>
      <c r="O234" s="9">
        <v>0</v>
      </c>
      <c r="P234" s="8">
        <f>(1-O234)*C234*F234+(D234*F234)+N234</f>
        <v>566.53878801652888</v>
      </c>
      <c r="Q234" s="36">
        <f>(M234/1.21-P234)/(M234/1.21)</f>
        <v>-0.35180238610166242</v>
      </c>
    </row>
    <row r="235" spans="2:17" ht="15.6" hidden="1" customHeight="1" x14ac:dyDescent="0.25">
      <c r="B235" s="104"/>
      <c r="C235" s="34">
        <v>35</v>
      </c>
      <c r="D235" s="32">
        <v>78.86</v>
      </c>
      <c r="E235" s="2">
        <v>1.3</v>
      </c>
      <c r="F235" s="2">
        <v>5.35</v>
      </c>
      <c r="G235" s="2">
        <v>1.23</v>
      </c>
      <c r="H235" s="2">
        <v>15</v>
      </c>
      <c r="I235" s="2">
        <v>1</v>
      </c>
      <c r="J235" s="2">
        <v>0</v>
      </c>
      <c r="K235" s="6">
        <v>0.18</v>
      </c>
      <c r="L235" s="2">
        <v>210</v>
      </c>
      <c r="M235" s="7">
        <f>(C235+H235)*E235*F235*G235*I235+J235+L235</f>
        <v>637.73250000000007</v>
      </c>
      <c r="N235" s="8">
        <f>((M235/1.21)-L235)*0.18</f>
        <v>57.069297520661166</v>
      </c>
      <c r="O235" s="9">
        <v>0</v>
      </c>
      <c r="P235" s="8">
        <f t="shared" ref="P235:P238" si="53">(1-O235)*C235*F235+(D235*F235)+N235</f>
        <v>666.22029752066112</v>
      </c>
      <c r="Q235" s="36">
        <f>(M235/1.21-P235)/(M235/1.21)</f>
        <v>-0.2640512440560891</v>
      </c>
    </row>
    <row r="236" spans="2:17" ht="15.6" hidden="1" customHeight="1" x14ac:dyDescent="0.25">
      <c r="B236" s="104"/>
      <c r="C236" s="34">
        <v>43.99</v>
      </c>
      <c r="D236" s="32">
        <v>78.86</v>
      </c>
      <c r="E236" s="2">
        <v>1.31</v>
      </c>
      <c r="F236" s="2">
        <v>5.35</v>
      </c>
      <c r="G236" s="2">
        <v>1.23</v>
      </c>
      <c r="H236" s="2">
        <v>15</v>
      </c>
      <c r="I236" s="2">
        <v>1</v>
      </c>
      <c r="J236" s="2">
        <v>0</v>
      </c>
      <c r="K236" s="6">
        <v>0.18</v>
      </c>
      <c r="L236" s="2">
        <v>210</v>
      </c>
      <c r="M236" s="7">
        <f>(C236+H236)*E236*F236*G236*I236+J236+L236</f>
        <v>718.52064044999997</v>
      </c>
      <c r="N236" s="8">
        <f>((M236/1.21)-L236)*0.18</f>
        <v>69.087368000826444</v>
      </c>
      <c r="O236" s="9">
        <v>0</v>
      </c>
      <c r="P236" s="8">
        <f t="shared" si="53"/>
        <v>726.33486800082642</v>
      </c>
      <c r="Q236" s="36">
        <f>(M236/1.21-P236)/(M236/1.21)</f>
        <v>-0.22315928145164798</v>
      </c>
    </row>
    <row r="237" spans="2:17" ht="15.6" hidden="1" customHeight="1" x14ac:dyDescent="0.25">
      <c r="B237" s="104"/>
      <c r="C237" s="34">
        <v>130</v>
      </c>
      <c r="D237" s="32">
        <v>78.86</v>
      </c>
      <c r="E237" s="2">
        <v>1.24</v>
      </c>
      <c r="F237" s="2">
        <v>5.35</v>
      </c>
      <c r="G237" s="2">
        <v>1.23</v>
      </c>
      <c r="H237" s="2">
        <v>15</v>
      </c>
      <c r="I237" s="2">
        <v>1</v>
      </c>
      <c r="J237" s="2">
        <v>0</v>
      </c>
      <c r="K237" s="6">
        <v>0.18</v>
      </c>
      <c r="L237" s="2">
        <v>210</v>
      </c>
      <c r="M237" s="7">
        <f>(C237+H237)*E237*F237*G237*I237+J237+L237</f>
        <v>1393.1739</v>
      </c>
      <c r="N237" s="8">
        <f>((M237/1.21)-L237)*0.18</f>
        <v>169.44900991735537</v>
      </c>
      <c r="O237" s="9">
        <v>0</v>
      </c>
      <c r="P237" s="8">
        <f t="shared" si="53"/>
        <v>1286.8500099173552</v>
      </c>
      <c r="Q237" s="36">
        <f>(M237/1.21-P237)/(M237/1.21)</f>
        <v>-0.11765552886111329</v>
      </c>
    </row>
    <row r="238" spans="2:17" ht="15.6" hidden="1" customHeight="1" x14ac:dyDescent="0.25">
      <c r="B238" s="104"/>
      <c r="C238" s="34">
        <v>140</v>
      </c>
      <c r="D238" s="32">
        <v>78.86</v>
      </c>
      <c r="E238" s="2">
        <v>1.25</v>
      </c>
      <c r="F238" s="2">
        <v>5.35</v>
      </c>
      <c r="G238" s="2">
        <v>1.23</v>
      </c>
      <c r="H238" s="2">
        <v>15</v>
      </c>
      <c r="I238" s="2">
        <v>1</v>
      </c>
      <c r="J238" s="2">
        <v>0</v>
      </c>
      <c r="K238" s="6">
        <v>0.18</v>
      </c>
      <c r="L238" s="2">
        <v>210</v>
      </c>
      <c r="M238" s="7">
        <f>(C238+H238)*E238*F238*G238*I238+J238+L238</f>
        <v>1484.971875</v>
      </c>
      <c r="N238" s="8">
        <f>((M238/1.21)-L238)*0.18</f>
        <v>183.10490702479339</v>
      </c>
      <c r="O238" s="9">
        <v>0</v>
      </c>
      <c r="P238" s="8">
        <f t="shared" si="53"/>
        <v>1354.0059070247933</v>
      </c>
      <c r="Q238" s="36">
        <f>(M238/1.21-P238)/(M238/1.21)</f>
        <v>-0.10328496793920745</v>
      </c>
    </row>
    <row r="239" spans="2:17" ht="15.6" hidden="1" customHeight="1" x14ac:dyDescent="0.25">
      <c r="B239" s="104"/>
      <c r="Q239" s="18"/>
    </row>
    <row r="240" spans="2:17" ht="15.6" hidden="1" customHeight="1" x14ac:dyDescent="0.3">
      <c r="B240" s="104"/>
      <c r="C240" s="107" t="s">
        <v>17</v>
      </c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9"/>
    </row>
    <row r="241" spans="2:17" ht="15.6" hidden="1" customHeight="1" x14ac:dyDescent="0.25">
      <c r="B241" s="104"/>
      <c r="C241" s="1" t="s">
        <v>1</v>
      </c>
      <c r="D241" s="3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2" t="s">
        <v>8</v>
      </c>
      <c r="K241" s="2" t="s">
        <v>9</v>
      </c>
      <c r="L241" s="2" t="s">
        <v>10</v>
      </c>
      <c r="M241" s="2" t="s">
        <v>11</v>
      </c>
      <c r="N241" s="2" t="s">
        <v>12</v>
      </c>
      <c r="O241" s="2" t="s">
        <v>13</v>
      </c>
      <c r="P241" s="2" t="s">
        <v>14</v>
      </c>
      <c r="Q241" s="3" t="s">
        <v>15</v>
      </c>
    </row>
    <row r="242" spans="2:17" ht="15.6" hidden="1" customHeight="1" x14ac:dyDescent="0.25">
      <c r="B242" s="104"/>
      <c r="C242" s="34">
        <v>20</v>
      </c>
      <c r="D242" s="32">
        <v>78.86</v>
      </c>
      <c r="E242" s="2">
        <v>1.01</v>
      </c>
      <c r="F242" s="2">
        <v>5.35</v>
      </c>
      <c r="G242" s="2">
        <v>1.23</v>
      </c>
      <c r="H242" s="2">
        <v>10</v>
      </c>
      <c r="I242" s="2">
        <v>1</v>
      </c>
      <c r="J242" s="2">
        <v>0</v>
      </c>
      <c r="K242" s="6">
        <v>0.18</v>
      </c>
      <c r="L242" s="2">
        <f>80+360</f>
        <v>440</v>
      </c>
      <c r="M242" s="7">
        <f>(C242+H242)*E242*F242*G242*I242+J242+L242</f>
        <v>639.38914999999997</v>
      </c>
      <c r="N242" s="8">
        <f>((M242/1.21)-L242)*0.18</f>
        <v>15.915741322314037</v>
      </c>
      <c r="O242" s="9">
        <v>0</v>
      </c>
      <c r="P242" s="8">
        <f>(1-O242)*C242*F242+(D242*F242)+N242</f>
        <v>544.81674132231399</v>
      </c>
      <c r="Q242" s="36">
        <f>(M242/1.21-P242)/(M242/1.21)</f>
        <v>-3.1028219668726004E-2</v>
      </c>
    </row>
    <row r="243" spans="2:17" ht="15.6" hidden="1" customHeight="1" x14ac:dyDescent="0.25">
      <c r="B243" s="104"/>
      <c r="C243" s="34">
        <v>35</v>
      </c>
      <c r="D243" s="32">
        <v>78.86</v>
      </c>
      <c r="E243" s="2">
        <v>1.1100000000000001</v>
      </c>
      <c r="F243" s="2">
        <v>5.35</v>
      </c>
      <c r="G243" s="2">
        <v>1.23</v>
      </c>
      <c r="H243" s="2">
        <v>10</v>
      </c>
      <c r="I243" s="2">
        <v>1</v>
      </c>
      <c r="J243" s="2">
        <v>0</v>
      </c>
      <c r="K243" s="6">
        <v>0.18</v>
      </c>
      <c r="L243" s="2">
        <f>80+360</f>
        <v>440</v>
      </c>
      <c r="M243" s="7">
        <f>(C243+H243)*E243*F243*G243*I243+J243+L243</f>
        <v>768.69597500000009</v>
      </c>
      <c r="N243" s="8">
        <f>((M243/1.21)-L243)*0.18</f>
        <v>35.151467355371913</v>
      </c>
      <c r="O243" s="9">
        <v>0</v>
      </c>
      <c r="P243" s="8">
        <f t="shared" ref="P243:P246" si="54">(1-O243)*C243*F243+(D243*F243)+N243</f>
        <v>644.30246735537185</v>
      </c>
      <c r="Q243" s="36">
        <f>(M243/1.21-P243)/(M243/1.21)</f>
        <v>-1.419288100214113E-2</v>
      </c>
    </row>
    <row r="244" spans="2:17" ht="15.6" hidden="1" customHeight="1" x14ac:dyDescent="0.25">
      <c r="B244" s="104"/>
      <c r="C244" s="34">
        <v>43.99</v>
      </c>
      <c r="D244" s="32">
        <v>78.86</v>
      </c>
      <c r="E244" s="2">
        <v>1.21</v>
      </c>
      <c r="F244" s="2">
        <v>5.35</v>
      </c>
      <c r="G244" s="2">
        <v>1.23</v>
      </c>
      <c r="H244" s="2">
        <v>10</v>
      </c>
      <c r="I244" s="2">
        <v>1</v>
      </c>
      <c r="J244" s="2">
        <v>0</v>
      </c>
      <c r="K244" s="6">
        <v>0.18</v>
      </c>
      <c r="L244" s="2">
        <f>80+360</f>
        <v>440</v>
      </c>
      <c r="M244" s="7">
        <f>(C244+H244)*E244*F244*G244*I244+J244+L244</f>
        <v>869.89024595000001</v>
      </c>
      <c r="N244" s="8">
        <f>((M244/1.21)-L244)*0.18</f>
        <v>50.205160554545458</v>
      </c>
      <c r="O244" s="9">
        <v>0</v>
      </c>
      <c r="P244" s="8">
        <f t="shared" si="54"/>
        <v>707.45266055454545</v>
      </c>
      <c r="Q244" s="36">
        <f>(M244/1.21-P244)/(M244/1.21)</f>
        <v>1.5947444799602226E-2</v>
      </c>
    </row>
    <row r="245" spans="2:17" ht="15.6" hidden="1" customHeight="1" x14ac:dyDescent="0.25">
      <c r="B245" s="104"/>
      <c r="C245" s="34">
        <v>130</v>
      </c>
      <c r="D245" s="32">
        <v>78.86</v>
      </c>
      <c r="E245" s="2">
        <v>1.27</v>
      </c>
      <c r="F245" s="2">
        <v>5.35</v>
      </c>
      <c r="G245" s="2">
        <v>1.23</v>
      </c>
      <c r="H245" s="2">
        <v>10</v>
      </c>
      <c r="I245" s="2">
        <v>1</v>
      </c>
      <c r="J245" s="2">
        <v>0</v>
      </c>
      <c r="K245" s="6">
        <v>0.18</v>
      </c>
      <c r="L245" s="2">
        <f>210+360</f>
        <v>570</v>
      </c>
      <c r="M245" s="7">
        <f>(C245+H245)*E245*F245*G245*I245+J245+L245</f>
        <v>1740.0128999999999</v>
      </c>
      <c r="N245" s="8">
        <f>((M245/1.21)-L245)*0.18</f>
        <v>156.24489421487604</v>
      </c>
      <c r="O245" s="9">
        <v>0</v>
      </c>
      <c r="P245" s="8">
        <f t="shared" si="54"/>
        <v>1273.6458942148759</v>
      </c>
      <c r="Q245" s="36">
        <f>(M245/1.21-P245)/(M245/1.21)</f>
        <v>0.11431028356169098</v>
      </c>
    </row>
    <row r="246" spans="2:17" ht="15.6" hidden="1" customHeight="1" thickBot="1" x14ac:dyDescent="0.3">
      <c r="B246" s="105"/>
      <c r="C246" s="34">
        <v>140</v>
      </c>
      <c r="D246" s="32">
        <v>78.86</v>
      </c>
      <c r="E246" s="2">
        <v>1.27</v>
      </c>
      <c r="F246" s="2">
        <v>5.35</v>
      </c>
      <c r="G246" s="2">
        <v>1.23</v>
      </c>
      <c r="H246" s="2">
        <v>10</v>
      </c>
      <c r="I246" s="2">
        <v>1</v>
      </c>
      <c r="J246" s="2">
        <v>0</v>
      </c>
      <c r="K246" s="6">
        <v>0.18</v>
      </c>
      <c r="L246" s="2">
        <f>210+360</f>
        <v>570</v>
      </c>
      <c r="M246" s="7">
        <f>(C246+H246)*E246*F246*G246*I246+J246+L246</f>
        <v>1823.5852499999999</v>
      </c>
      <c r="N246" s="8">
        <f>((M246/1.21)-L246)*0.18</f>
        <v>168.67714462809914</v>
      </c>
      <c r="O246" s="9">
        <v>0</v>
      </c>
      <c r="P246" s="8">
        <f t="shared" si="54"/>
        <v>1339.5781446280989</v>
      </c>
      <c r="Q246" s="36">
        <f>(M246/1.21-P246)/(M246/1.21)</f>
        <v>0.11115230011868112</v>
      </c>
    </row>
    <row r="247" spans="2:17" ht="15.6" hidden="1" customHeight="1" x14ac:dyDescent="0.25"/>
    <row r="248" spans="2:17" ht="15.6" customHeight="1" x14ac:dyDescent="0.3">
      <c r="B248" s="118" t="s">
        <v>83</v>
      </c>
      <c r="C248" s="106" t="s">
        <v>16</v>
      </c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9"/>
    </row>
    <row r="249" spans="2:17" ht="15.6" customHeight="1" x14ac:dyDescent="0.25">
      <c r="B249" s="119"/>
      <c r="C249" s="1" t="s">
        <v>19</v>
      </c>
      <c r="D249" s="32" t="s">
        <v>2</v>
      </c>
      <c r="E249" s="2" t="s">
        <v>3</v>
      </c>
      <c r="F249" s="2" t="s">
        <v>4</v>
      </c>
      <c r="G249" s="2" t="s">
        <v>5</v>
      </c>
      <c r="H249" s="2" t="s">
        <v>6</v>
      </c>
      <c r="I249" s="2" t="s">
        <v>7</v>
      </c>
      <c r="J249" s="2" t="s">
        <v>8</v>
      </c>
      <c r="K249" s="2" t="s">
        <v>9</v>
      </c>
      <c r="L249" s="2" t="s">
        <v>10</v>
      </c>
      <c r="M249" s="2" t="s">
        <v>11</v>
      </c>
      <c r="N249" s="2" t="s">
        <v>12</v>
      </c>
      <c r="O249" s="2" t="s">
        <v>13</v>
      </c>
      <c r="P249" s="2" t="s">
        <v>14</v>
      </c>
      <c r="Q249" s="3" t="s">
        <v>15</v>
      </c>
    </row>
    <row r="250" spans="2:17" ht="15.6" customHeight="1" x14ac:dyDescent="0.25">
      <c r="B250" s="119"/>
      <c r="C250" s="34">
        <v>36</v>
      </c>
      <c r="D250" s="32">
        <v>31.81</v>
      </c>
      <c r="E250" s="2">
        <v>0.99</v>
      </c>
      <c r="F250" s="2">
        <v>5.35</v>
      </c>
      <c r="G250" s="2">
        <v>1</v>
      </c>
      <c r="H250" s="2">
        <v>30</v>
      </c>
      <c r="I250" s="2">
        <v>1</v>
      </c>
      <c r="J250" s="2">
        <v>0</v>
      </c>
      <c r="K250" s="6">
        <v>0.18</v>
      </c>
      <c r="L250" s="2">
        <v>0</v>
      </c>
      <c r="M250" s="7">
        <f>(C250+H250)*E250*F250*G250*I250+J250</f>
        <v>349.56900000000002</v>
      </c>
      <c r="N250" s="8">
        <f>(M250/1.21)*0.18</f>
        <v>52.002000000000002</v>
      </c>
      <c r="O250" s="9">
        <v>0.25</v>
      </c>
      <c r="P250" s="8">
        <f>(((1-O250)*C250)/1.23)*F250+(D250*F250)+N250</f>
        <v>339.62452439024389</v>
      </c>
      <c r="Q250" s="36">
        <f>(M250/1.21-P250)/(M250/1.21)</f>
        <v>-0.17557813911472431</v>
      </c>
    </row>
    <row r="251" spans="2:17" ht="15.6" customHeight="1" x14ac:dyDescent="0.25">
      <c r="B251" s="119"/>
      <c r="C251" s="34">
        <v>179</v>
      </c>
      <c r="D251" s="32">
        <v>31.81</v>
      </c>
      <c r="E251" s="2">
        <v>1.02</v>
      </c>
      <c r="F251" s="2">
        <v>5.35</v>
      </c>
      <c r="G251" s="2">
        <v>1</v>
      </c>
      <c r="H251" s="2">
        <v>30</v>
      </c>
      <c r="I251" s="2">
        <v>1</v>
      </c>
      <c r="J251" s="2">
        <v>0</v>
      </c>
      <c r="K251" s="6">
        <v>0.18</v>
      </c>
      <c r="L251" s="2">
        <v>0</v>
      </c>
      <c r="M251" s="7">
        <f t="shared" ref="M251:M254" si="55">(C251+H251)*E251*F251*G251*I251+J251</f>
        <v>1140.5129999999999</v>
      </c>
      <c r="N251" s="8">
        <f t="shared" ref="N251:N254" si="56">(M251/1.21)*0.18</f>
        <v>169.6630909090909</v>
      </c>
      <c r="O251" s="9">
        <v>0.25</v>
      </c>
      <c r="P251" s="8">
        <f t="shared" ref="P251:P254" si="57">(((1-O251)*C251)/1.23)*F251+(D251*F251)+N251</f>
        <v>923.77951773835912</v>
      </c>
      <c r="Q251" s="36">
        <f>(M251/1.21-P251)/(M251/1.21)</f>
        <v>1.9938206348007772E-2</v>
      </c>
    </row>
    <row r="252" spans="2:17" ht="15.6" customHeight="1" x14ac:dyDescent="0.25">
      <c r="B252" s="119"/>
      <c r="C252" s="34">
        <v>269</v>
      </c>
      <c r="D252" s="32">
        <v>31.81</v>
      </c>
      <c r="E252" s="2">
        <v>1.0900000000000001</v>
      </c>
      <c r="F252" s="2">
        <v>5.35</v>
      </c>
      <c r="G252" s="2">
        <v>1</v>
      </c>
      <c r="H252" s="2">
        <v>29</v>
      </c>
      <c r="I252" s="2">
        <v>1</v>
      </c>
      <c r="J252" s="2">
        <v>0</v>
      </c>
      <c r="K252" s="6">
        <v>0.18</v>
      </c>
      <c r="L252" s="2">
        <v>0</v>
      </c>
      <c r="M252" s="7">
        <f t="shared" si="55"/>
        <v>1737.7870000000003</v>
      </c>
      <c r="N252" s="8">
        <f t="shared" si="56"/>
        <v>258.51376859504137</v>
      </c>
      <c r="O252" s="9">
        <v>0.25</v>
      </c>
      <c r="P252" s="8">
        <f t="shared" si="57"/>
        <v>1306.2277563999191</v>
      </c>
      <c r="Q252" s="36">
        <f>(M252/1.21-P252)/(M252/1.21)</f>
        <v>9.0489464333717615E-2</v>
      </c>
    </row>
    <row r="253" spans="2:17" ht="15.6" customHeight="1" x14ac:dyDescent="0.25">
      <c r="B253" s="119"/>
      <c r="C253" s="34">
        <v>769</v>
      </c>
      <c r="D253" s="32">
        <v>31.81</v>
      </c>
      <c r="E253" s="2">
        <v>1.05</v>
      </c>
      <c r="F253" s="2">
        <v>5.35</v>
      </c>
      <c r="G253" s="2">
        <v>1</v>
      </c>
      <c r="H253" s="2">
        <v>29</v>
      </c>
      <c r="I253" s="2">
        <v>1</v>
      </c>
      <c r="J253" s="2">
        <v>0</v>
      </c>
      <c r="K253" s="6">
        <v>0.18</v>
      </c>
      <c r="L253" s="2">
        <v>0</v>
      </c>
      <c r="M253" s="7">
        <f t="shared" si="55"/>
        <v>4482.7650000000003</v>
      </c>
      <c r="N253" s="8">
        <f t="shared" si="56"/>
        <v>666.85760330578523</v>
      </c>
      <c r="O253" s="9">
        <v>0.25</v>
      </c>
      <c r="P253" s="8">
        <f t="shared" si="57"/>
        <v>3345.6691520862732</v>
      </c>
      <c r="Q253" s="36">
        <f>(M253/1.21-P253)/(M253/1.21)</f>
        <v>9.6927973243212603E-2</v>
      </c>
    </row>
    <row r="254" spans="2:17" ht="15.6" customHeight="1" x14ac:dyDescent="0.25">
      <c r="B254" s="119"/>
      <c r="C254" s="34">
        <v>1999</v>
      </c>
      <c r="D254" s="32">
        <v>31.81</v>
      </c>
      <c r="E254" s="2">
        <v>1.04</v>
      </c>
      <c r="F254" s="2">
        <v>5.35</v>
      </c>
      <c r="G254" s="2">
        <v>1</v>
      </c>
      <c r="H254" s="2">
        <v>29</v>
      </c>
      <c r="I254" s="2">
        <v>1</v>
      </c>
      <c r="J254" s="2">
        <v>0</v>
      </c>
      <c r="K254" s="6">
        <v>0.18</v>
      </c>
      <c r="L254" s="2">
        <v>0</v>
      </c>
      <c r="M254" s="7">
        <f t="shared" si="55"/>
        <v>11283.791999999999</v>
      </c>
      <c r="N254" s="8">
        <f t="shared" si="56"/>
        <v>1678.5806280991735</v>
      </c>
      <c r="O254" s="9">
        <v>0.25</v>
      </c>
      <c r="P254" s="8">
        <f t="shared" si="57"/>
        <v>8369.8921768796608</v>
      </c>
      <c r="Q254" s="36">
        <f>(M254/1.21-P254)/(M254/1.21)</f>
        <v>0.10246754512805717</v>
      </c>
    </row>
    <row r="255" spans="2:17" ht="15.6" customHeight="1" x14ac:dyDescent="0.25">
      <c r="B255" s="119"/>
      <c r="Q255" s="18"/>
    </row>
    <row r="256" spans="2:17" ht="15.6" customHeight="1" x14ac:dyDescent="0.3">
      <c r="B256" s="119"/>
      <c r="C256" s="107" t="s">
        <v>17</v>
      </c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9"/>
    </row>
    <row r="257" spans="2:17" ht="15.6" customHeight="1" x14ac:dyDescent="0.25">
      <c r="B257" s="119"/>
      <c r="C257" s="1" t="s">
        <v>19</v>
      </c>
      <c r="D257" s="32" t="s">
        <v>2</v>
      </c>
      <c r="E257" s="2" t="s">
        <v>3</v>
      </c>
      <c r="F257" s="2" t="s">
        <v>4</v>
      </c>
      <c r="G257" s="2" t="s">
        <v>5</v>
      </c>
      <c r="H257" s="2" t="s">
        <v>6</v>
      </c>
      <c r="I257" s="2" t="s">
        <v>7</v>
      </c>
      <c r="J257" s="2" t="s">
        <v>8</v>
      </c>
      <c r="K257" s="2" t="s">
        <v>9</v>
      </c>
      <c r="L257" s="2" t="s">
        <v>10</v>
      </c>
      <c r="M257" s="2" t="s">
        <v>11</v>
      </c>
      <c r="N257" s="2" t="s">
        <v>12</v>
      </c>
      <c r="O257" s="2" t="s">
        <v>13</v>
      </c>
      <c r="P257" s="2" t="s">
        <v>14</v>
      </c>
      <c r="Q257" s="3" t="s">
        <v>15</v>
      </c>
    </row>
    <row r="258" spans="2:17" ht="15.6" customHeight="1" x14ac:dyDescent="0.25">
      <c r="B258" s="119"/>
      <c r="C258" s="34">
        <v>36</v>
      </c>
      <c r="D258" s="32">
        <v>22.31</v>
      </c>
      <c r="E258" s="2">
        <v>0.95</v>
      </c>
      <c r="F258" s="2">
        <v>5.35</v>
      </c>
      <c r="G258" s="2">
        <v>1</v>
      </c>
      <c r="H258" s="2">
        <v>20</v>
      </c>
      <c r="I258" s="2">
        <v>1</v>
      </c>
      <c r="J258" s="2">
        <v>0</v>
      </c>
      <c r="K258" s="6">
        <v>0.18</v>
      </c>
      <c r="L258" s="2">
        <v>49</v>
      </c>
      <c r="M258" s="7">
        <f>(C258+H258)*E258*F258*G258*I258+J258</f>
        <v>284.61999999999995</v>
      </c>
      <c r="N258" s="8">
        <f>((M258/1.21))*0.18</f>
        <v>42.340165289256191</v>
      </c>
      <c r="O258" s="9">
        <v>0.25</v>
      </c>
      <c r="P258" s="8">
        <f>(((1-O258)*C258)/1.23)*F258+(D258*F258)+N258</f>
        <v>279.13768967950011</v>
      </c>
      <c r="Q258" s="36">
        <f>(M258/1.21-P258)/(M258/1.21)</f>
        <v>-0.18669315055932534</v>
      </c>
    </row>
    <row r="259" spans="2:17" ht="15.6" customHeight="1" x14ac:dyDescent="0.25">
      <c r="B259" s="119"/>
      <c r="C259" s="34">
        <v>179</v>
      </c>
      <c r="D259" s="32">
        <v>22.31</v>
      </c>
      <c r="E259" s="2">
        <v>1.01</v>
      </c>
      <c r="F259" s="2">
        <v>5.35</v>
      </c>
      <c r="G259" s="2">
        <v>1</v>
      </c>
      <c r="H259" s="2">
        <v>20</v>
      </c>
      <c r="I259" s="2">
        <v>1</v>
      </c>
      <c r="J259" s="2">
        <v>0</v>
      </c>
      <c r="K259" s="6">
        <v>0.18</v>
      </c>
      <c r="L259" s="2">
        <v>49</v>
      </c>
      <c r="M259" s="7">
        <f t="shared" ref="M259:M262" si="58">(C259+H259)*E259*F259*G259*I259+J259</f>
        <v>1075.2964999999999</v>
      </c>
      <c r="N259" s="8">
        <f t="shared" ref="N259:N262" si="59">((M259/1.21))*0.18</f>
        <v>159.96146280991735</v>
      </c>
      <c r="O259" s="9">
        <v>0.25</v>
      </c>
      <c r="P259" s="8">
        <f t="shared" ref="P259:P262" si="60">(((1-O259)*C259)/1.23)*F259+(D259*F259)+N259</f>
        <v>863.25288963918547</v>
      </c>
      <c r="Q259" s="36">
        <f>(M259/1.21-P259)/(M259/1.21)</f>
        <v>2.860653181386304E-2</v>
      </c>
    </row>
    <row r="260" spans="2:17" ht="15.6" customHeight="1" x14ac:dyDescent="0.25">
      <c r="B260" s="119"/>
      <c r="C260" s="34">
        <v>269</v>
      </c>
      <c r="D260" s="32">
        <v>22.31</v>
      </c>
      <c r="E260" s="2">
        <v>1.1299999999999999</v>
      </c>
      <c r="F260" s="2">
        <v>5.35</v>
      </c>
      <c r="G260" s="2">
        <v>1</v>
      </c>
      <c r="H260" s="2">
        <v>0</v>
      </c>
      <c r="I260" s="2">
        <v>1</v>
      </c>
      <c r="J260" s="2">
        <v>0</v>
      </c>
      <c r="K260" s="6">
        <v>0.18</v>
      </c>
      <c r="L260" s="2">
        <v>49</v>
      </c>
      <c r="M260" s="7">
        <f t="shared" si="58"/>
        <v>1626.2394999999997</v>
      </c>
      <c r="N260" s="8">
        <f t="shared" si="59"/>
        <v>241.91992561983469</v>
      </c>
      <c r="O260" s="9">
        <v>0.25</v>
      </c>
      <c r="P260" s="8">
        <f t="shared" si="60"/>
        <v>1238.8089134247127</v>
      </c>
      <c r="Q260" s="36">
        <f>(M260/1.21-P260)/(M260/1.21)</f>
        <v>7.8266894117439312E-2</v>
      </c>
    </row>
    <row r="261" spans="2:17" ht="15.6" customHeight="1" x14ac:dyDescent="0.25">
      <c r="B261" s="119"/>
      <c r="C261" s="34">
        <v>769</v>
      </c>
      <c r="D261" s="32">
        <v>22.31</v>
      </c>
      <c r="E261" s="2">
        <v>1.1499999999999999</v>
      </c>
      <c r="F261" s="2">
        <v>5.35</v>
      </c>
      <c r="G261" s="2">
        <v>1</v>
      </c>
      <c r="H261" s="2">
        <v>0</v>
      </c>
      <c r="I261" s="2">
        <v>1</v>
      </c>
      <c r="J261" s="2">
        <v>0</v>
      </c>
      <c r="K261" s="6">
        <v>0.18</v>
      </c>
      <c r="L261" s="2">
        <v>49</v>
      </c>
      <c r="M261" s="7">
        <f t="shared" si="58"/>
        <v>4731.2724999999991</v>
      </c>
      <c r="N261" s="8">
        <f t="shared" si="59"/>
        <v>703.82566115702468</v>
      </c>
      <c r="O261" s="9">
        <v>0.25</v>
      </c>
      <c r="P261" s="8">
        <f t="shared" si="60"/>
        <v>3331.8122099375123</v>
      </c>
      <c r="Q261" s="36">
        <f>(M261/1.21-P261)/(M261/1.21)</f>
        <v>0.14790518321986515</v>
      </c>
    </row>
    <row r="262" spans="2:17" ht="15.6" customHeight="1" thickBot="1" x14ac:dyDescent="0.3">
      <c r="B262" s="120"/>
      <c r="C262" s="34">
        <v>1999</v>
      </c>
      <c r="D262" s="32">
        <v>22.31</v>
      </c>
      <c r="E262" s="2">
        <v>1</v>
      </c>
      <c r="F262" s="2">
        <v>5.35</v>
      </c>
      <c r="G262" s="2">
        <v>1</v>
      </c>
      <c r="H262" s="2">
        <v>0</v>
      </c>
      <c r="I262" s="2">
        <v>1</v>
      </c>
      <c r="J262" s="2">
        <v>0</v>
      </c>
      <c r="K262" s="6">
        <v>0.18</v>
      </c>
      <c r="L262" s="2">
        <v>49</v>
      </c>
      <c r="M262" s="7">
        <f t="shared" si="58"/>
        <v>10694.65</v>
      </c>
      <c r="N262" s="8">
        <f t="shared" si="59"/>
        <v>1590.9396694214877</v>
      </c>
      <c r="O262" s="9">
        <v>0.25</v>
      </c>
      <c r="P262" s="8">
        <f t="shared" si="60"/>
        <v>8231.4262182019756</v>
      </c>
      <c r="Q262" s="36">
        <f>(M262/1.21-P262)/(M262/1.21)</f>
        <v>6.8690819800144007E-2</v>
      </c>
    </row>
    <row r="263" spans="2:17" ht="15.6" customHeight="1" thickBot="1" x14ac:dyDescent="0.3"/>
    <row r="264" spans="2:17" ht="15.6" customHeight="1" x14ac:dyDescent="0.3">
      <c r="B264" s="103" t="s">
        <v>84</v>
      </c>
      <c r="C264" s="106" t="s">
        <v>16</v>
      </c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9"/>
    </row>
    <row r="265" spans="2:17" ht="15.6" customHeight="1" x14ac:dyDescent="0.25">
      <c r="B265" s="104"/>
      <c r="C265" s="1" t="s">
        <v>19</v>
      </c>
      <c r="D265" s="3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2" t="s">
        <v>8</v>
      </c>
      <c r="K265" s="2" t="s">
        <v>9</v>
      </c>
      <c r="L265" s="2" t="s">
        <v>10</v>
      </c>
      <c r="M265" s="2" t="s">
        <v>11</v>
      </c>
      <c r="N265" s="2" t="s">
        <v>12</v>
      </c>
      <c r="O265" s="2" t="s">
        <v>13</v>
      </c>
      <c r="P265" s="2" t="s">
        <v>14</v>
      </c>
      <c r="Q265" s="3" t="s">
        <v>15</v>
      </c>
    </row>
    <row r="266" spans="2:17" ht="15.6" customHeight="1" x14ac:dyDescent="0.25">
      <c r="B266" s="104"/>
      <c r="C266" s="34">
        <v>36</v>
      </c>
      <c r="D266" s="32">
        <v>53.33</v>
      </c>
      <c r="E266" s="2">
        <v>0.99</v>
      </c>
      <c r="F266" s="2">
        <v>5.35</v>
      </c>
      <c r="G266" s="2">
        <v>1</v>
      </c>
      <c r="H266" s="2">
        <v>30</v>
      </c>
      <c r="I266" s="2">
        <v>1</v>
      </c>
      <c r="J266" s="2">
        <v>0</v>
      </c>
      <c r="K266" s="6">
        <v>0.18</v>
      </c>
      <c r="L266" s="20">
        <v>0</v>
      </c>
      <c r="M266" s="7">
        <f>(C266+H266)*E266*F266*G266*I266+J266+L266</f>
        <v>349.56900000000002</v>
      </c>
      <c r="N266" s="8">
        <f>((M266/1.21)-L266)*0.18</f>
        <v>52.002000000000002</v>
      </c>
      <c r="O266" s="9">
        <v>0.25</v>
      </c>
      <c r="P266" s="8">
        <f>(((1-O266)*C266)/1.23)*F266+(D266*F266)+N266</f>
        <v>454.7565243902439</v>
      </c>
      <c r="Q266" s="36">
        <f>(M266/1.21-P266)/(M266/1.21)</f>
        <v>-0.5740966576332428</v>
      </c>
    </row>
    <row r="267" spans="2:17" ht="15.6" customHeight="1" x14ac:dyDescent="0.25">
      <c r="B267" s="104"/>
      <c r="C267" s="34">
        <v>179</v>
      </c>
      <c r="D267" s="32">
        <v>53.33</v>
      </c>
      <c r="E267" s="2">
        <v>1.02</v>
      </c>
      <c r="F267" s="2">
        <v>5.35</v>
      </c>
      <c r="G267" s="2">
        <v>1</v>
      </c>
      <c r="H267" s="2">
        <v>30</v>
      </c>
      <c r="I267" s="2">
        <v>1</v>
      </c>
      <c r="J267" s="2">
        <v>0</v>
      </c>
      <c r="K267" s="6">
        <v>0.18</v>
      </c>
      <c r="L267" s="20">
        <v>0</v>
      </c>
      <c r="M267" s="7">
        <f>(C267+H267)*E267*F267*G267*I267+J267+L267</f>
        <v>1140.5129999999999</v>
      </c>
      <c r="N267" s="8">
        <f>((M267/1.21)-L267)*0.18</f>
        <v>169.6630909090909</v>
      </c>
      <c r="O267" s="9">
        <v>0.25</v>
      </c>
      <c r="P267" s="8">
        <f t="shared" ref="P267:P270" si="61">(((1-O267)*C267)/1.23)*F267+(D267*F267)+N267</f>
        <v>1038.9115177383592</v>
      </c>
      <c r="Q267" s="36">
        <f>(M267/1.21-P267)/(M267/1.21)</f>
        <v>-0.10220833647964968</v>
      </c>
    </row>
    <row r="268" spans="2:17" ht="15.6" customHeight="1" x14ac:dyDescent="0.25">
      <c r="B268" s="104"/>
      <c r="C268" s="34">
        <v>269</v>
      </c>
      <c r="D268" s="32">
        <v>53.33</v>
      </c>
      <c r="E268" s="2">
        <v>1.0900000000000001</v>
      </c>
      <c r="F268" s="2">
        <v>5.35</v>
      </c>
      <c r="G268" s="2">
        <v>1</v>
      </c>
      <c r="H268" s="2">
        <v>29</v>
      </c>
      <c r="I268" s="2">
        <v>1</v>
      </c>
      <c r="J268" s="2">
        <v>0</v>
      </c>
      <c r="K268" s="6">
        <v>0.18</v>
      </c>
      <c r="L268" s="20">
        <v>0</v>
      </c>
      <c r="M268" s="7">
        <f>(C268+H268)*E268*F268*G268*I268+J268+L268</f>
        <v>1737.7870000000003</v>
      </c>
      <c r="N268" s="8">
        <f>((M268/1.21)-L268)*0.18</f>
        <v>258.51376859504137</v>
      </c>
      <c r="O268" s="9">
        <v>0.25</v>
      </c>
      <c r="P268" s="8">
        <f t="shared" si="61"/>
        <v>1421.3597563999192</v>
      </c>
      <c r="Q268" s="36">
        <f>(M268/1.21-P268)/(M268/1.21)</f>
        <v>1.0324449864165215E-2</v>
      </c>
    </row>
    <row r="269" spans="2:17" ht="15.6" customHeight="1" x14ac:dyDescent="0.25">
      <c r="B269" s="104"/>
      <c r="C269" s="34">
        <v>769</v>
      </c>
      <c r="D269" s="32">
        <v>53.33</v>
      </c>
      <c r="E269" s="2">
        <v>1.05</v>
      </c>
      <c r="F269" s="2">
        <v>5.35</v>
      </c>
      <c r="G269" s="2">
        <v>1</v>
      </c>
      <c r="H269" s="2">
        <v>29</v>
      </c>
      <c r="I269" s="2">
        <v>1</v>
      </c>
      <c r="J269" s="2">
        <v>0</v>
      </c>
      <c r="K269" s="6">
        <v>0.18</v>
      </c>
      <c r="L269" s="20">
        <v>0</v>
      </c>
      <c r="M269" s="7">
        <f>(C269+H269)*E269*F269*G269*I269+J269+L269</f>
        <v>4482.7650000000003</v>
      </c>
      <c r="N269" s="8">
        <f>((M269/1.21)-L269)*0.18</f>
        <v>666.85760330578523</v>
      </c>
      <c r="O269" s="9">
        <v>0.25</v>
      </c>
      <c r="P269" s="8">
        <f t="shared" si="61"/>
        <v>3460.8011520862733</v>
      </c>
      <c r="Q269" s="36">
        <f>(M269/1.21-P269)/(M269/1.21)</f>
        <v>6.5851233775495677E-2</v>
      </c>
    </row>
    <row r="270" spans="2:17" ht="15.6" customHeight="1" x14ac:dyDescent="0.25">
      <c r="B270" s="104"/>
      <c r="C270" s="34">
        <v>1999</v>
      </c>
      <c r="D270" s="32">
        <v>53.33</v>
      </c>
      <c r="E270" s="2">
        <v>1.04</v>
      </c>
      <c r="F270" s="2">
        <v>5.35</v>
      </c>
      <c r="G270" s="2">
        <v>1</v>
      </c>
      <c r="H270" s="2">
        <v>29</v>
      </c>
      <c r="I270" s="2">
        <v>1</v>
      </c>
      <c r="J270" s="2">
        <v>0</v>
      </c>
      <c r="K270" s="6">
        <v>0.18</v>
      </c>
      <c r="L270" s="20">
        <v>0</v>
      </c>
      <c r="M270" s="7">
        <f>(C270+H270)*E270*F270*G270*I270+J270+L270</f>
        <v>11283.791999999999</v>
      </c>
      <c r="N270" s="8">
        <f>((M270/1.21)-L270)*0.18</f>
        <v>1678.5806280991735</v>
      </c>
      <c r="O270" s="9">
        <v>0.25</v>
      </c>
      <c r="P270" s="8">
        <f t="shared" si="61"/>
        <v>8485.0241768796604</v>
      </c>
      <c r="Q270" s="36">
        <f>(M270/1.21-P270)/(M270/1.21)</f>
        <v>9.0121543003948576E-2</v>
      </c>
    </row>
    <row r="271" spans="2:17" ht="15.6" customHeight="1" x14ac:dyDescent="0.25">
      <c r="B271" s="104"/>
      <c r="Q271" s="18"/>
    </row>
    <row r="272" spans="2:17" ht="15.6" customHeight="1" x14ac:dyDescent="0.3">
      <c r="B272" s="104"/>
      <c r="C272" s="107" t="s">
        <v>17</v>
      </c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9"/>
    </row>
    <row r="273" spans="2:17" ht="15.6" customHeight="1" x14ac:dyDescent="0.25">
      <c r="B273" s="104"/>
      <c r="C273" s="1" t="s">
        <v>19</v>
      </c>
      <c r="D273" s="32" t="s">
        <v>2</v>
      </c>
      <c r="E273" s="2" t="s">
        <v>3</v>
      </c>
      <c r="F273" s="2" t="s">
        <v>4</v>
      </c>
      <c r="G273" s="2" t="s">
        <v>5</v>
      </c>
      <c r="H273" s="2" t="s">
        <v>6</v>
      </c>
      <c r="I273" s="2" t="s">
        <v>7</v>
      </c>
      <c r="J273" s="2" t="s">
        <v>8</v>
      </c>
      <c r="K273" s="2" t="s">
        <v>9</v>
      </c>
      <c r="L273" s="2" t="s">
        <v>10</v>
      </c>
      <c r="M273" s="2" t="s">
        <v>11</v>
      </c>
      <c r="N273" s="2" t="s">
        <v>12</v>
      </c>
      <c r="O273" s="2" t="s">
        <v>13</v>
      </c>
      <c r="P273" s="2" t="s">
        <v>14</v>
      </c>
      <c r="Q273" s="3" t="s">
        <v>15</v>
      </c>
    </row>
    <row r="274" spans="2:17" ht="15.6" customHeight="1" x14ac:dyDescent="0.25">
      <c r="B274" s="104"/>
      <c r="C274" s="34">
        <v>36</v>
      </c>
      <c r="D274" s="32">
        <v>53.33</v>
      </c>
      <c r="E274" s="2">
        <v>0.95</v>
      </c>
      <c r="F274" s="2">
        <v>5.35</v>
      </c>
      <c r="G274" s="2">
        <v>1</v>
      </c>
      <c r="H274" s="2">
        <v>20</v>
      </c>
      <c r="I274" s="2">
        <v>1</v>
      </c>
      <c r="J274" s="2">
        <v>0</v>
      </c>
      <c r="K274" s="6">
        <v>0.18</v>
      </c>
      <c r="L274" s="2">
        <v>80</v>
      </c>
      <c r="M274" s="7">
        <f>(C274+H274)*E274*F274*G274*I274+J274+L274</f>
        <v>364.61999999999995</v>
      </c>
      <c r="N274" s="8">
        <f>((M274/1.21)-L274)*0.18</f>
        <v>39.840991735537187</v>
      </c>
      <c r="O274" s="9">
        <v>0.25</v>
      </c>
      <c r="P274" s="8">
        <f>(((1-O274)*C274)/1.23)*F274+(D274*F274)+N274</f>
        <v>442.59551612578105</v>
      </c>
      <c r="Q274" s="36">
        <f>(M274/1.21-P274)/(M274/1.21)</f>
        <v>-0.46876357443967714</v>
      </c>
    </row>
    <row r="275" spans="2:17" ht="15.6" customHeight="1" x14ac:dyDescent="0.25">
      <c r="B275" s="104"/>
      <c r="C275" s="34">
        <v>179</v>
      </c>
      <c r="D275" s="32">
        <v>53.33</v>
      </c>
      <c r="E275" s="2">
        <v>1.01</v>
      </c>
      <c r="F275" s="2">
        <v>5.35</v>
      </c>
      <c r="G275" s="2">
        <v>1</v>
      </c>
      <c r="H275" s="2">
        <v>20</v>
      </c>
      <c r="I275" s="2">
        <v>1</v>
      </c>
      <c r="J275" s="2">
        <v>0</v>
      </c>
      <c r="K275" s="6">
        <v>0.18</v>
      </c>
      <c r="L275" s="2">
        <v>210</v>
      </c>
      <c r="M275" s="7">
        <f>(C275+H275)*E275*F275*G275*I275+J275+L275</f>
        <v>1285.2964999999999</v>
      </c>
      <c r="N275" s="8">
        <f>((M275/1.21)-L275)*0.18</f>
        <v>153.40113223140494</v>
      </c>
      <c r="O275" s="9">
        <v>0.25</v>
      </c>
      <c r="P275" s="8">
        <f t="shared" ref="P275:P278" si="62">(((1-O275)*C275)/1.23)*F275+(D275*F275)+N275</f>
        <v>1022.6495590606733</v>
      </c>
      <c r="Q275" s="36">
        <f>(M275/1.21-P275)/(M275/1.21)</f>
        <v>3.7260300278251252E-2</v>
      </c>
    </row>
    <row r="276" spans="2:17" ht="15.6" customHeight="1" x14ac:dyDescent="0.25">
      <c r="B276" s="104"/>
      <c r="C276" s="34">
        <v>269</v>
      </c>
      <c r="D276" s="32">
        <v>53.33</v>
      </c>
      <c r="E276" s="2">
        <v>1.1299999999999999</v>
      </c>
      <c r="F276" s="2">
        <v>5.35</v>
      </c>
      <c r="G276" s="2">
        <v>1</v>
      </c>
      <c r="H276" s="2">
        <v>0</v>
      </c>
      <c r="I276" s="2">
        <v>1</v>
      </c>
      <c r="J276" s="2">
        <v>0</v>
      </c>
      <c r="K276" s="6">
        <v>0.18</v>
      </c>
      <c r="L276" s="2">
        <v>210</v>
      </c>
      <c r="M276" s="7">
        <f>(C276+H276)*E276*F276*G276*I276+J276+L276</f>
        <v>1836.2394999999997</v>
      </c>
      <c r="N276" s="8">
        <f>((M276/1.21)-L276)*0.18</f>
        <v>235.35959504132225</v>
      </c>
      <c r="O276" s="9">
        <v>0.25</v>
      </c>
      <c r="P276" s="8">
        <f t="shared" si="62"/>
        <v>1398.2055828462003</v>
      </c>
      <c r="Q276" s="36">
        <f>(M276/1.21-P276)/(M276/1.21)</f>
        <v>7.8644830783836953E-2</v>
      </c>
    </row>
    <row r="277" spans="2:17" ht="15.6" customHeight="1" x14ac:dyDescent="0.25">
      <c r="B277" s="104"/>
      <c r="C277" s="34">
        <v>769</v>
      </c>
      <c r="D277" s="32">
        <v>53.33</v>
      </c>
      <c r="E277" s="2">
        <v>1.1499999999999999</v>
      </c>
      <c r="F277" s="2">
        <v>5.35</v>
      </c>
      <c r="G277" s="2">
        <v>1</v>
      </c>
      <c r="H277" s="2">
        <v>0</v>
      </c>
      <c r="I277" s="2">
        <v>1</v>
      </c>
      <c r="J277" s="2">
        <v>0</v>
      </c>
      <c r="K277" s="6">
        <v>0.18</v>
      </c>
      <c r="L277" s="2">
        <v>690</v>
      </c>
      <c r="M277" s="7">
        <f>(C277+H277)*E277*F277*G277*I277+J277+L277</f>
        <v>5421.2724999999991</v>
      </c>
      <c r="N277" s="8">
        <f>((M277/1.21)-L277)*0.18</f>
        <v>682.27028925619811</v>
      </c>
      <c r="O277" s="9">
        <v>0.25</v>
      </c>
      <c r="P277" s="8">
        <f t="shared" si="62"/>
        <v>3476.213838036686</v>
      </c>
      <c r="Q277" s="36">
        <f>(M277/1.21-P277)/(M277/1.21)</f>
        <v>0.22412703954202801</v>
      </c>
    </row>
    <row r="278" spans="2:17" ht="15.6" customHeight="1" thickBot="1" x14ac:dyDescent="0.3">
      <c r="B278" s="105"/>
      <c r="C278" s="34">
        <v>1999</v>
      </c>
      <c r="D278" s="32">
        <v>53.33</v>
      </c>
      <c r="E278" s="2">
        <v>1</v>
      </c>
      <c r="F278" s="2">
        <v>5.35</v>
      </c>
      <c r="G278" s="2">
        <v>1</v>
      </c>
      <c r="H278" s="2">
        <v>0</v>
      </c>
      <c r="I278" s="2">
        <v>1</v>
      </c>
      <c r="J278" s="2">
        <v>0</v>
      </c>
      <c r="K278" s="6">
        <v>0.18</v>
      </c>
      <c r="L278" s="2">
        <v>1080</v>
      </c>
      <c r="M278" s="7">
        <f>(C278+H278)*E278*F278*G278*I278+J278+L278</f>
        <v>11774.65</v>
      </c>
      <c r="N278" s="8">
        <f>((M278/1.21)-L278)*0.18</f>
        <v>1557.2008264462811</v>
      </c>
      <c r="O278" s="9">
        <v>0.25</v>
      </c>
      <c r="P278" s="8">
        <f t="shared" si="62"/>
        <v>8363.6443752267696</v>
      </c>
      <c r="Q278" s="36">
        <f>(M278/1.21-P278)/(M278/1.21)</f>
        <v>0.14052564670504933</v>
      </c>
    </row>
    <row r="279" spans="2:17" ht="15.6" customHeight="1" thickBot="1" x14ac:dyDescent="0.3"/>
    <row r="280" spans="2:17" ht="15.6" customHeight="1" x14ac:dyDescent="0.3">
      <c r="B280" s="103" t="s">
        <v>85</v>
      </c>
      <c r="C280" s="106" t="s">
        <v>16</v>
      </c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9"/>
    </row>
    <row r="281" spans="2:17" ht="15.6" customHeight="1" x14ac:dyDescent="0.25">
      <c r="B281" s="104"/>
      <c r="C281" s="1" t="s">
        <v>19</v>
      </c>
      <c r="D281" s="32" t="s">
        <v>2</v>
      </c>
      <c r="E281" s="2" t="s">
        <v>3</v>
      </c>
      <c r="F281" s="2" t="s">
        <v>4</v>
      </c>
      <c r="G281" s="2" t="s">
        <v>5</v>
      </c>
      <c r="H281" s="2" t="s">
        <v>6</v>
      </c>
      <c r="I281" s="2" t="s">
        <v>7</v>
      </c>
      <c r="J281" s="2" t="s">
        <v>8</v>
      </c>
      <c r="K281" s="2" t="s">
        <v>9</v>
      </c>
      <c r="L281" s="2" t="s">
        <v>10</v>
      </c>
      <c r="M281" s="2" t="s">
        <v>11</v>
      </c>
      <c r="N281" s="2" t="s">
        <v>12</v>
      </c>
      <c r="O281" s="2" t="s">
        <v>13</v>
      </c>
      <c r="P281" s="2" t="s">
        <v>14</v>
      </c>
      <c r="Q281" s="3" t="s">
        <v>15</v>
      </c>
    </row>
    <row r="282" spans="2:17" ht="15.6" customHeight="1" x14ac:dyDescent="0.25">
      <c r="B282" s="104"/>
      <c r="C282" s="34">
        <v>36</v>
      </c>
      <c r="D282" s="32">
        <v>78.86</v>
      </c>
      <c r="E282" s="2">
        <v>0.99</v>
      </c>
      <c r="F282" s="2">
        <v>5.35</v>
      </c>
      <c r="G282" s="2">
        <v>1</v>
      </c>
      <c r="H282" s="2">
        <v>30</v>
      </c>
      <c r="I282" s="2">
        <v>1</v>
      </c>
      <c r="J282" s="2">
        <v>0</v>
      </c>
      <c r="K282" s="6">
        <v>0.18</v>
      </c>
      <c r="L282" s="2">
        <v>210</v>
      </c>
      <c r="M282" s="7">
        <f>(C282+H282)*E282*F282*G282*I282+J282+L282</f>
        <v>559.56899999999996</v>
      </c>
      <c r="N282" s="8">
        <f>((M282/1.21)-L282)*0.18</f>
        <v>45.441669421487596</v>
      </c>
      <c r="O282" s="9">
        <v>0.25</v>
      </c>
      <c r="P282" s="8">
        <f>(((1-O282)*C282)/1.23)*F282+(D282*F282)+N282</f>
        <v>584.78169381173143</v>
      </c>
      <c r="Q282" s="36">
        <f>(M282/1.21-P282)/(M282/1.21)</f>
        <v>-0.26451938815801995</v>
      </c>
    </row>
    <row r="283" spans="2:17" ht="15.6" customHeight="1" x14ac:dyDescent="0.25">
      <c r="B283" s="104"/>
      <c r="C283" s="34">
        <v>179</v>
      </c>
      <c r="D283" s="32">
        <v>78.86</v>
      </c>
      <c r="E283" s="2">
        <v>1.02</v>
      </c>
      <c r="F283" s="2">
        <v>5.35</v>
      </c>
      <c r="G283" s="2">
        <v>1</v>
      </c>
      <c r="H283" s="2">
        <v>30</v>
      </c>
      <c r="I283" s="2">
        <v>1</v>
      </c>
      <c r="J283" s="2">
        <v>0</v>
      </c>
      <c r="K283" s="6">
        <v>0.18</v>
      </c>
      <c r="L283" s="2">
        <v>210</v>
      </c>
      <c r="M283" s="7">
        <f>(C283+H283)*E283*F283*G283*I283+J283+L283</f>
        <v>1350.5129999999999</v>
      </c>
      <c r="N283" s="8">
        <f>((M283/1.21)-L283)*0.18</f>
        <v>163.10276033057852</v>
      </c>
      <c r="O283" s="9">
        <v>0.25</v>
      </c>
      <c r="P283" s="8">
        <f t="shared" ref="P283:P286" si="63">(((1-O283)*C283)/1.23)*F283+(D283*F283)+N283</f>
        <v>1168.9366871598468</v>
      </c>
      <c r="Q283" s="36">
        <f>(M283/1.21-P283)/(M283/1.21)</f>
        <v>-4.7315643361755519E-2</v>
      </c>
    </row>
    <row r="284" spans="2:17" ht="15.6" customHeight="1" x14ac:dyDescent="0.25">
      <c r="B284" s="104"/>
      <c r="C284" s="34">
        <v>269</v>
      </c>
      <c r="D284" s="32">
        <v>78.86</v>
      </c>
      <c r="E284" s="2">
        <v>1.0900000000000001</v>
      </c>
      <c r="F284" s="2">
        <v>5.35</v>
      </c>
      <c r="G284" s="2">
        <v>1</v>
      </c>
      <c r="H284" s="2">
        <v>29</v>
      </c>
      <c r="I284" s="2">
        <v>1</v>
      </c>
      <c r="J284" s="2">
        <v>0</v>
      </c>
      <c r="K284" s="6">
        <v>0.18</v>
      </c>
      <c r="L284" s="2">
        <v>210</v>
      </c>
      <c r="M284" s="7">
        <f>(C284+H284)*E284*F284*G284*I284+J284+L284</f>
        <v>1947.7870000000003</v>
      </c>
      <c r="N284" s="8">
        <f>((M284/1.21)-L284)*0.18</f>
        <v>251.95343801652893</v>
      </c>
      <c r="O284" s="9">
        <v>0.25</v>
      </c>
      <c r="P284" s="8">
        <f t="shared" si="63"/>
        <v>1551.384925821407</v>
      </c>
      <c r="Q284" s="36">
        <f>(M284/1.21-P284)/(M284/1.21)</f>
        <v>3.6252033593045685E-2</v>
      </c>
    </row>
    <row r="285" spans="2:17" ht="15.6" customHeight="1" x14ac:dyDescent="0.25">
      <c r="B285" s="104"/>
      <c r="C285" s="34">
        <v>769</v>
      </c>
      <c r="D285" s="32">
        <v>78.86</v>
      </c>
      <c r="E285" s="2">
        <v>1.05</v>
      </c>
      <c r="F285" s="2">
        <v>5.35</v>
      </c>
      <c r="G285" s="2">
        <v>1</v>
      </c>
      <c r="H285" s="2">
        <v>29</v>
      </c>
      <c r="I285" s="2">
        <v>1</v>
      </c>
      <c r="J285" s="2">
        <v>0</v>
      </c>
      <c r="K285" s="6">
        <v>0.18</v>
      </c>
      <c r="L285" s="2">
        <v>620</v>
      </c>
      <c r="M285" s="7">
        <f>(C285+H285)*E285*F285*G285*I285+J285+L285</f>
        <v>5102.7650000000003</v>
      </c>
      <c r="N285" s="8">
        <f>((M285/1.21)-L285)*0.18</f>
        <v>647.48900826446288</v>
      </c>
      <c r="O285" s="9">
        <v>0.25</v>
      </c>
      <c r="P285" s="8">
        <f t="shared" si="63"/>
        <v>3578.0180570449506</v>
      </c>
      <c r="Q285" s="36">
        <f>(M285/1.21-P285)/(M285/1.21)</f>
        <v>0.15155766549617913</v>
      </c>
    </row>
    <row r="286" spans="2:17" ht="15.6" customHeight="1" x14ac:dyDescent="0.25">
      <c r="B286" s="104"/>
      <c r="C286" s="34">
        <v>1999</v>
      </c>
      <c r="D286" s="32">
        <v>78.86</v>
      </c>
      <c r="E286" s="2">
        <v>1.04</v>
      </c>
      <c r="F286" s="2">
        <v>5.35</v>
      </c>
      <c r="G286" s="2">
        <v>1</v>
      </c>
      <c r="H286" s="2">
        <v>29</v>
      </c>
      <c r="I286" s="2">
        <v>1</v>
      </c>
      <c r="J286" s="2">
        <v>0</v>
      </c>
      <c r="K286" s="6">
        <v>0.18</v>
      </c>
      <c r="L286" s="2">
        <v>920</v>
      </c>
      <c r="M286" s="7">
        <f>(C286+H286)*E286*F286*G286*I286+J286+L286</f>
        <v>12203.791999999999</v>
      </c>
      <c r="N286" s="8">
        <f>((M286/1.21)-L286)*0.18</f>
        <v>1649.8401322314048</v>
      </c>
      <c r="O286" s="9">
        <v>0.25</v>
      </c>
      <c r="P286" s="8">
        <f t="shared" si="63"/>
        <v>8592.8691810118926</v>
      </c>
      <c r="Q286" s="36">
        <f>(M286/1.21-P286)/(M286/1.21)</f>
        <v>0.14802122905533041</v>
      </c>
    </row>
    <row r="287" spans="2:17" ht="15.6" customHeight="1" x14ac:dyDescent="0.25">
      <c r="B287" s="104"/>
      <c r="Q287" s="18"/>
    </row>
    <row r="288" spans="2:17" ht="15.6" customHeight="1" x14ac:dyDescent="0.3">
      <c r="B288" s="104"/>
      <c r="C288" s="107" t="s">
        <v>17</v>
      </c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9"/>
    </row>
    <row r="289" spans="2:17" ht="15.6" customHeight="1" x14ac:dyDescent="0.25">
      <c r="B289" s="104"/>
      <c r="C289" s="1" t="s">
        <v>19</v>
      </c>
      <c r="D289" s="3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2" t="s">
        <v>8</v>
      </c>
      <c r="K289" s="2" t="s">
        <v>9</v>
      </c>
      <c r="L289" s="2" t="s">
        <v>10</v>
      </c>
      <c r="M289" s="2" t="s">
        <v>11</v>
      </c>
      <c r="N289" s="2" t="s">
        <v>12</v>
      </c>
      <c r="O289" s="2" t="s">
        <v>13</v>
      </c>
      <c r="P289" s="2" t="s">
        <v>14</v>
      </c>
      <c r="Q289" s="3" t="s">
        <v>15</v>
      </c>
    </row>
    <row r="290" spans="2:17" ht="15.6" customHeight="1" x14ac:dyDescent="0.25">
      <c r="B290" s="104"/>
      <c r="C290" s="34">
        <v>36</v>
      </c>
      <c r="D290" s="32">
        <v>78.86</v>
      </c>
      <c r="E290" s="2">
        <v>0.95</v>
      </c>
      <c r="F290" s="2">
        <v>5.35</v>
      </c>
      <c r="G290" s="2">
        <v>1</v>
      </c>
      <c r="H290" s="2">
        <v>20</v>
      </c>
      <c r="I290" s="2">
        <v>1</v>
      </c>
      <c r="J290" s="2">
        <v>0</v>
      </c>
      <c r="K290" s="6">
        <v>0.18</v>
      </c>
      <c r="L290" s="2">
        <f>80+360</f>
        <v>440</v>
      </c>
      <c r="M290" s="7">
        <f>(C290+H290)*E290*F290*G290*I290+J290+L290</f>
        <v>724.61999999999989</v>
      </c>
      <c r="N290" s="8">
        <f>((M290/1.21)-L290)*0.18</f>
        <v>28.594710743801638</v>
      </c>
      <c r="O290" s="9">
        <v>0.25</v>
      </c>
      <c r="P290" s="8">
        <f>(((1-O290)*C290)/1.23)*F290+(D290*F290)+N290</f>
        <v>567.93473513404547</v>
      </c>
      <c r="Q290" s="36">
        <f>(M290/1.21-P290)/(M290/1.21)</f>
        <v>5.1639439275489092E-2</v>
      </c>
    </row>
    <row r="291" spans="2:17" ht="15.6" customHeight="1" x14ac:dyDescent="0.25">
      <c r="B291" s="104"/>
      <c r="C291" s="34">
        <v>179</v>
      </c>
      <c r="D291" s="32">
        <v>78.86</v>
      </c>
      <c r="E291" s="2">
        <v>1.01</v>
      </c>
      <c r="F291" s="2">
        <v>5.35</v>
      </c>
      <c r="G291" s="2">
        <v>1</v>
      </c>
      <c r="H291" s="2">
        <v>20</v>
      </c>
      <c r="I291" s="2">
        <v>1</v>
      </c>
      <c r="J291" s="2">
        <v>0</v>
      </c>
      <c r="K291" s="6">
        <v>0.18</v>
      </c>
      <c r="L291" s="2">
        <f>210+360</f>
        <v>570</v>
      </c>
      <c r="M291" s="7">
        <f>(C291+H291)*E291*F291*G291*I291+J291+L291</f>
        <v>1645.2964999999999</v>
      </c>
      <c r="N291" s="8">
        <f>((M291/1.21)-L291)*0.18</f>
        <v>142.1548512396694</v>
      </c>
      <c r="O291" s="9">
        <v>0.25</v>
      </c>
      <c r="P291" s="8">
        <f t="shared" ref="P291:P294" si="64">(((1-O291)*C291)/1.23)*F291+(D291*F291)+N291</f>
        <v>1147.9887780689376</v>
      </c>
      <c r="Q291" s="36">
        <f>(M291/1.21-P291)/(M291/1.21)</f>
        <v>0.15573489552587361</v>
      </c>
    </row>
    <row r="292" spans="2:17" ht="15.6" customHeight="1" x14ac:dyDescent="0.25">
      <c r="B292" s="104"/>
      <c r="C292" s="34">
        <v>269</v>
      </c>
      <c r="D292" s="32">
        <v>78.86</v>
      </c>
      <c r="E292" s="2">
        <v>1.1299999999999999</v>
      </c>
      <c r="F292" s="2">
        <v>5.35</v>
      </c>
      <c r="G292" s="2">
        <v>1</v>
      </c>
      <c r="H292" s="2">
        <v>0</v>
      </c>
      <c r="I292" s="2">
        <v>1</v>
      </c>
      <c r="J292" s="2">
        <v>0</v>
      </c>
      <c r="K292" s="6">
        <v>0.18</v>
      </c>
      <c r="L292" s="2">
        <f>210+360</f>
        <v>570</v>
      </c>
      <c r="M292" s="7">
        <f>(C292+H292)*E292*F292*G292*I292+J292+L292</f>
        <v>2196.2394999999997</v>
      </c>
      <c r="N292" s="8">
        <f>((M292/1.21)-L292)*0.18</f>
        <v>224.11331404958671</v>
      </c>
      <c r="O292" s="9">
        <v>0.25</v>
      </c>
      <c r="P292" s="8">
        <f t="shared" si="64"/>
        <v>1523.5448018544648</v>
      </c>
      <c r="Q292" s="36">
        <f>(M292/1.21-P292)/(M292/1.21)</f>
        <v>0.1606155839361314</v>
      </c>
    </row>
    <row r="293" spans="2:17" ht="15.6" customHeight="1" x14ac:dyDescent="0.25">
      <c r="B293" s="104"/>
      <c r="C293" s="34">
        <v>769</v>
      </c>
      <c r="D293" s="32">
        <v>78.86</v>
      </c>
      <c r="E293" s="2">
        <v>1.1499999999999999</v>
      </c>
      <c r="F293" s="2">
        <v>5.35</v>
      </c>
      <c r="G293" s="2">
        <v>1</v>
      </c>
      <c r="H293" s="2">
        <v>0</v>
      </c>
      <c r="I293" s="2">
        <v>1</v>
      </c>
      <c r="J293" s="2">
        <v>0</v>
      </c>
      <c r="K293" s="6">
        <v>0.18</v>
      </c>
      <c r="L293" s="2">
        <f>690+780</f>
        <v>1470</v>
      </c>
      <c r="M293" s="7">
        <f>(C293+H293)*E293*F293*G293*I293+J293+L293</f>
        <v>6201.2724999999991</v>
      </c>
      <c r="N293" s="8">
        <f>((M293/1.21)-L293)*0.18</f>
        <v>657.90334710743787</v>
      </c>
      <c r="O293" s="9">
        <v>0.25</v>
      </c>
      <c r="P293" s="8">
        <f t="shared" si="64"/>
        <v>3588.4323958879258</v>
      </c>
      <c r="Q293" s="36">
        <f>(M293/1.21-P293)/(M293/1.21)</f>
        <v>0.2998206095564433</v>
      </c>
    </row>
    <row r="294" spans="2:17" ht="15.6" customHeight="1" thickBot="1" x14ac:dyDescent="0.3">
      <c r="B294" s="105"/>
      <c r="C294" s="34">
        <v>1999</v>
      </c>
      <c r="D294" s="32">
        <v>78.86</v>
      </c>
      <c r="E294" s="2">
        <v>1</v>
      </c>
      <c r="F294" s="2">
        <v>5.35</v>
      </c>
      <c r="G294" s="2">
        <v>1</v>
      </c>
      <c r="H294" s="2">
        <v>0</v>
      </c>
      <c r="I294" s="2">
        <v>1</v>
      </c>
      <c r="J294" s="2">
        <v>0</v>
      </c>
      <c r="K294" s="6">
        <v>0.18</v>
      </c>
      <c r="L294" s="2">
        <f>1430+1080</f>
        <v>2510</v>
      </c>
      <c r="M294" s="7">
        <f>(C294+H294)*E294*F294*G294*I294+J294+L294</f>
        <v>13204.65</v>
      </c>
      <c r="N294" s="8">
        <f>((M294/1.21)-L294)*0.18</f>
        <v>1512.5280991735538</v>
      </c>
      <c r="O294" s="9">
        <v>0.25</v>
      </c>
      <c r="P294" s="8">
        <f t="shared" si="64"/>
        <v>8455.5571479540413</v>
      </c>
      <c r="Q294" s="36">
        <f>(M294/1.21-P294)/(M294/1.21)</f>
        <v>0.22518020931835456</v>
      </c>
    </row>
    <row r="296" spans="2:17" ht="15.6" customHeight="1" thickBot="1" x14ac:dyDescent="0.3"/>
    <row r="297" spans="2:17" ht="15.6" customHeight="1" x14ac:dyDescent="0.3">
      <c r="B297" s="118" t="s">
        <v>86</v>
      </c>
      <c r="C297" s="106" t="s">
        <v>16</v>
      </c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9"/>
    </row>
    <row r="298" spans="2:17" ht="15.6" customHeight="1" x14ac:dyDescent="0.25">
      <c r="B298" s="119"/>
      <c r="C298" s="1" t="s">
        <v>1</v>
      </c>
      <c r="D298" s="32" t="s">
        <v>2</v>
      </c>
      <c r="E298" s="2" t="s">
        <v>3</v>
      </c>
      <c r="F298" s="2" t="s">
        <v>4</v>
      </c>
      <c r="G298" s="2" t="s">
        <v>5</v>
      </c>
      <c r="H298" s="2" t="s">
        <v>6</v>
      </c>
      <c r="I298" s="2" t="s">
        <v>7</v>
      </c>
      <c r="J298" s="2" t="s">
        <v>8</v>
      </c>
      <c r="K298" s="2" t="s">
        <v>9</v>
      </c>
      <c r="L298" s="2" t="s">
        <v>10</v>
      </c>
      <c r="M298" s="2" t="s">
        <v>11</v>
      </c>
      <c r="N298" s="2" t="s">
        <v>12</v>
      </c>
      <c r="O298" s="2" t="s">
        <v>13</v>
      </c>
      <c r="P298" s="2" t="s">
        <v>14</v>
      </c>
      <c r="Q298" s="3" t="s">
        <v>15</v>
      </c>
    </row>
    <row r="299" spans="2:17" ht="15.6" customHeight="1" x14ac:dyDescent="0.25">
      <c r="B299" s="119"/>
      <c r="C299" s="37">
        <v>160</v>
      </c>
      <c r="D299" s="32">
        <v>63.75</v>
      </c>
      <c r="E299" s="2">
        <v>1.24</v>
      </c>
      <c r="F299" s="2">
        <v>1</v>
      </c>
      <c r="G299" s="2">
        <v>1.464</v>
      </c>
      <c r="H299" s="2">
        <v>0</v>
      </c>
      <c r="I299" s="2">
        <v>1</v>
      </c>
      <c r="J299" s="2">
        <v>0</v>
      </c>
      <c r="K299" s="6">
        <v>0.18</v>
      </c>
      <c r="L299" s="2">
        <v>210</v>
      </c>
      <c r="M299" s="7">
        <f>(C299+H299)*E299*F299*G299*I299+J299+L299</f>
        <v>500.45760000000001</v>
      </c>
      <c r="N299" s="8">
        <f>((M299/1.21)-L299)*0.18</f>
        <v>36.648238016528921</v>
      </c>
      <c r="O299" s="9">
        <v>0</v>
      </c>
      <c r="P299" s="8">
        <f>(1-O299)*C299*F299+(D299*5.35)+N299</f>
        <v>537.71073801652892</v>
      </c>
      <c r="Q299" s="36">
        <f>(M299/1.21-P299)/(M299/1.21)</f>
        <v>-0.30007016178793167</v>
      </c>
    </row>
    <row r="300" spans="2:17" ht="15.6" customHeight="1" x14ac:dyDescent="0.25">
      <c r="B300" s="119"/>
      <c r="C300" s="37">
        <v>530</v>
      </c>
      <c r="D300" s="32">
        <v>63.75</v>
      </c>
      <c r="E300" s="2">
        <v>1.23</v>
      </c>
      <c r="F300" s="2">
        <v>1</v>
      </c>
      <c r="G300" s="2">
        <v>1.464</v>
      </c>
      <c r="H300" s="2">
        <v>0</v>
      </c>
      <c r="I300" s="2">
        <v>1</v>
      </c>
      <c r="J300" s="2">
        <v>0</v>
      </c>
      <c r="K300" s="6">
        <v>0.18</v>
      </c>
      <c r="L300" s="2">
        <v>210</v>
      </c>
      <c r="M300" s="7">
        <f>(C300+H300)*E300*F300*G300*I300+J300+L300</f>
        <v>1164.3815999999999</v>
      </c>
      <c r="N300" s="8">
        <f>((M300/1.21)-L300)*0.18</f>
        <v>135.41379173553719</v>
      </c>
      <c r="O300" s="9">
        <v>0</v>
      </c>
      <c r="P300" s="8">
        <f t="shared" ref="P300:P303" si="65">(1-O300)*C300*F300+(D300*5.35)+N300</f>
        <v>1006.4762917355372</v>
      </c>
      <c r="Q300" s="36">
        <f>(M300/1.21-P300)/(M300/1.21)</f>
        <v>-4.5908242624239308E-2</v>
      </c>
    </row>
    <row r="301" spans="2:17" ht="15.6" customHeight="1" x14ac:dyDescent="0.25">
      <c r="B301" s="119"/>
      <c r="C301" s="37">
        <v>1580</v>
      </c>
      <c r="D301" s="32">
        <v>63.75</v>
      </c>
      <c r="E301" s="2">
        <v>1.22</v>
      </c>
      <c r="F301" s="2">
        <v>1</v>
      </c>
      <c r="G301" s="2">
        <v>1.464</v>
      </c>
      <c r="H301" s="2">
        <v>0</v>
      </c>
      <c r="I301" s="2">
        <v>1</v>
      </c>
      <c r="J301" s="2">
        <v>0</v>
      </c>
      <c r="K301" s="6">
        <v>0.18</v>
      </c>
      <c r="L301" s="2">
        <v>270</v>
      </c>
      <c r="M301" s="7">
        <f>(C301+H301)*E301*F301*G301*I301+J301+L301</f>
        <v>3092.0063999999998</v>
      </c>
      <c r="N301" s="8">
        <f>((M301/1.21)-L301)*0.18</f>
        <v>411.367894214876</v>
      </c>
      <c r="O301" s="9">
        <v>0</v>
      </c>
      <c r="P301" s="8">
        <f t="shared" si="65"/>
        <v>2332.4303942148758</v>
      </c>
      <c r="Q301" s="36">
        <f>(M301/1.21-P301)/(M301/1.21)</f>
        <v>8.7246139917433602E-2</v>
      </c>
    </row>
    <row r="302" spans="2:17" ht="15.6" customHeight="1" x14ac:dyDescent="0.25">
      <c r="B302" s="119"/>
      <c r="C302" s="37">
        <v>3680</v>
      </c>
      <c r="D302" s="32">
        <v>63.75</v>
      </c>
      <c r="E302" s="2">
        <v>1.21</v>
      </c>
      <c r="F302" s="2">
        <v>1</v>
      </c>
      <c r="G302" s="2">
        <v>1.464</v>
      </c>
      <c r="H302" s="2">
        <v>0</v>
      </c>
      <c r="I302" s="2">
        <v>1</v>
      </c>
      <c r="J302" s="2">
        <v>0</v>
      </c>
      <c r="K302" s="6">
        <v>0.18</v>
      </c>
      <c r="L302" s="2">
        <v>620</v>
      </c>
      <c r="M302" s="7">
        <f>(C302+H302)*E302*F302*G302*I302+J302+L302</f>
        <v>7138.8991999999998</v>
      </c>
      <c r="N302" s="8">
        <f>((M302/1.21)-L302)*0.18</f>
        <v>950.38500495867765</v>
      </c>
      <c r="O302" s="9">
        <v>0</v>
      </c>
      <c r="P302" s="8">
        <f t="shared" si="65"/>
        <v>4971.4475049586781</v>
      </c>
      <c r="Q302" s="36">
        <f>(M302/1.21-P302)/(M302/1.21)</f>
        <v>0.15736988119961118</v>
      </c>
    </row>
    <row r="303" spans="2:17" ht="15.6" customHeight="1" x14ac:dyDescent="0.25">
      <c r="B303" s="119"/>
      <c r="C303" s="37">
        <v>4000</v>
      </c>
      <c r="D303" s="32">
        <v>63.75</v>
      </c>
      <c r="E303" s="2">
        <v>1.2</v>
      </c>
      <c r="F303" s="2">
        <v>1</v>
      </c>
      <c r="G303" s="2">
        <v>1.464</v>
      </c>
      <c r="H303" s="2">
        <v>0</v>
      </c>
      <c r="I303" s="2">
        <v>1</v>
      </c>
      <c r="J303" s="2">
        <v>0</v>
      </c>
      <c r="K303" s="6">
        <v>0.18</v>
      </c>
      <c r="L303" s="2">
        <v>620</v>
      </c>
      <c r="M303" s="7">
        <f>(C303+H303)*E303*F303*G303*I303+J303+L303</f>
        <v>7647.2</v>
      </c>
      <c r="N303" s="8">
        <f>((M303/1.21)-L303)*0.18</f>
        <v>1026</v>
      </c>
      <c r="O303" s="9">
        <v>0</v>
      </c>
      <c r="P303" s="8">
        <f t="shared" si="65"/>
        <v>5367.0625</v>
      </c>
      <c r="Q303" s="36">
        <f>(M303/1.21-P303)/(M303/1.21)</f>
        <v>0.15078125000000001</v>
      </c>
    </row>
    <row r="304" spans="2:17" ht="15.6" customHeight="1" x14ac:dyDescent="0.25">
      <c r="B304" s="119"/>
      <c r="Q304" s="18"/>
    </row>
    <row r="305" spans="2:17" ht="15.6" customHeight="1" x14ac:dyDescent="0.25">
      <c r="B305" s="119"/>
      <c r="Q305" s="18"/>
    </row>
    <row r="306" spans="2:17" ht="15.6" customHeight="1" x14ac:dyDescent="0.3">
      <c r="B306" s="119"/>
      <c r="C306" s="107" t="s">
        <v>17</v>
      </c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9"/>
    </row>
    <row r="307" spans="2:17" ht="15.6" customHeight="1" x14ac:dyDescent="0.25">
      <c r="B307" s="119"/>
      <c r="C307" s="1" t="s">
        <v>1</v>
      </c>
      <c r="D307" s="3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2" t="s">
        <v>8</v>
      </c>
      <c r="K307" s="2" t="s">
        <v>9</v>
      </c>
      <c r="L307" s="2" t="s">
        <v>10</v>
      </c>
      <c r="M307" s="2" t="s">
        <v>11</v>
      </c>
      <c r="N307" s="2" t="s">
        <v>12</v>
      </c>
      <c r="O307" s="2" t="s">
        <v>13</v>
      </c>
      <c r="P307" s="2" t="s">
        <v>14</v>
      </c>
      <c r="Q307" s="3" t="s">
        <v>15</v>
      </c>
    </row>
    <row r="308" spans="2:17" ht="15.6" customHeight="1" x14ac:dyDescent="0.25">
      <c r="B308" s="119"/>
      <c r="C308" s="37">
        <v>160</v>
      </c>
      <c r="D308" s="32">
        <v>0</v>
      </c>
      <c r="E308" s="2">
        <v>1.65</v>
      </c>
      <c r="F308" s="2">
        <v>1</v>
      </c>
      <c r="G308" s="2">
        <v>1.464</v>
      </c>
      <c r="H308" s="2">
        <v>0</v>
      </c>
      <c r="I308" s="2">
        <v>1</v>
      </c>
      <c r="J308" s="2">
        <v>0</v>
      </c>
      <c r="K308" s="6">
        <v>0.18</v>
      </c>
      <c r="L308" s="2">
        <v>360</v>
      </c>
      <c r="M308" s="7">
        <f>(C308+H308)*E308*F308*G308*I308+J308+L308</f>
        <v>746.49599999999998</v>
      </c>
      <c r="N308" s="8">
        <f>((M308/1.21)-L308)*0.18</f>
        <v>46.248991735537189</v>
      </c>
      <c r="O308" s="9">
        <v>0</v>
      </c>
      <c r="P308" s="8">
        <f>(1-O308)*C308*F308+D308+N308</f>
        <v>206.24899173553717</v>
      </c>
      <c r="Q308" s="36">
        <f>(M308/1.21-P308)/(M308/1.21)</f>
        <v>0.66568972908093282</v>
      </c>
    </row>
    <row r="309" spans="2:17" ht="15.6" customHeight="1" x14ac:dyDescent="0.25">
      <c r="B309" s="119"/>
      <c r="C309" s="37">
        <v>530</v>
      </c>
      <c r="D309" s="32">
        <v>0</v>
      </c>
      <c r="E309" s="2">
        <v>1.56</v>
      </c>
      <c r="F309" s="2">
        <v>1</v>
      </c>
      <c r="G309" s="2">
        <v>1.464</v>
      </c>
      <c r="H309" s="2">
        <v>0</v>
      </c>
      <c r="I309" s="2">
        <v>1</v>
      </c>
      <c r="J309" s="2">
        <v>0</v>
      </c>
      <c r="K309" s="6">
        <v>0.18</v>
      </c>
      <c r="L309" s="2">
        <v>360</v>
      </c>
      <c r="M309" s="7">
        <f>(C309+H309)*E309*F309*G309*I309+J309+L309</f>
        <v>1570.4352000000001</v>
      </c>
      <c r="N309" s="8">
        <f>((M309/1.21)-L309)*0.18</f>
        <v>168.81845950413225</v>
      </c>
      <c r="O309" s="9">
        <v>0</v>
      </c>
      <c r="P309" s="8">
        <f>(1-O309)*C309*F309+D309+N309</f>
        <v>698.81845950413231</v>
      </c>
      <c r="Q309" s="36">
        <f>(M309/1.21-P309)/(M309/1.21)</f>
        <v>0.46156941973791721</v>
      </c>
    </row>
    <row r="310" spans="2:17" ht="15.6" customHeight="1" x14ac:dyDescent="0.25">
      <c r="B310" s="119"/>
      <c r="C310" s="37">
        <v>1580</v>
      </c>
      <c r="D310" s="32">
        <v>0</v>
      </c>
      <c r="E310" s="2">
        <v>1.51</v>
      </c>
      <c r="F310" s="2">
        <v>1</v>
      </c>
      <c r="G310" s="2">
        <v>1.464</v>
      </c>
      <c r="H310" s="2">
        <v>0</v>
      </c>
      <c r="I310" s="2">
        <v>1</v>
      </c>
      <c r="J310" s="2">
        <v>0</v>
      </c>
      <c r="K310" s="6">
        <v>0.18</v>
      </c>
      <c r="L310" s="2">
        <v>460</v>
      </c>
      <c r="M310" s="7">
        <f>(C310+H310)*E310*F310*G310*I310+J310+L310</f>
        <v>3952.8112000000001</v>
      </c>
      <c r="N310" s="8">
        <f>((M310/1.21)-L310)*0.18</f>
        <v>505.22150082644629</v>
      </c>
      <c r="O310" s="9">
        <v>0</v>
      </c>
      <c r="P310" s="8">
        <f>(1-O310)*C310*F310+D310+N310</f>
        <v>2085.2215008264461</v>
      </c>
      <c r="Q310" s="36">
        <f>(M310/1.21-P310)/(M310/1.21)</f>
        <v>0.36169022795725742</v>
      </c>
    </row>
    <row r="311" spans="2:17" ht="15.6" customHeight="1" x14ac:dyDescent="0.25">
      <c r="B311" s="119"/>
      <c r="C311" s="37">
        <v>3680</v>
      </c>
      <c r="D311" s="32">
        <v>0</v>
      </c>
      <c r="E311" s="2">
        <v>1.59</v>
      </c>
      <c r="F311" s="2">
        <v>1</v>
      </c>
      <c r="G311" s="2">
        <v>1.464</v>
      </c>
      <c r="H311" s="2">
        <v>0</v>
      </c>
      <c r="I311" s="2">
        <v>1</v>
      </c>
      <c r="J311" s="2">
        <v>0</v>
      </c>
      <c r="K311" s="6">
        <v>0.18</v>
      </c>
      <c r="L311" s="2">
        <v>880</v>
      </c>
      <c r="M311" s="7">
        <f>(C311+H311)*E311*F311*G311*I311+J311+L311</f>
        <v>9446.1568000000007</v>
      </c>
      <c r="N311" s="8">
        <f>((M311/1.21)-L311)*0.18</f>
        <v>1246.8134082644629</v>
      </c>
      <c r="O311" s="9">
        <v>0</v>
      </c>
      <c r="P311" s="8">
        <f>(1-O311)*C311*F311+D311+N311</f>
        <v>4926.8134082644629</v>
      </c>
      <c r="Q311" s="36">
        <f>(M311/1.21-P311)/(M311/1.21)</f>
        <v>0.36890268177636015</v>
      </c>
    </row>
    <row r="312" spans="2:17" ht="15.6" customHeight="1" thickBot="1" x14ac:dyDescent="0.3">
      <c r="B312" s="120"/>
      <c r="C312" s="37">
        <v>4000</v>
      </c>
      <c r="D312" s="32">
        <v>0</v>
      </c>
      <c r="E312" s="2">
        <v>1.47</v>
      </c>
      <c r="F312" s="2">
        <v>1</v>
      </c>
      <c r="G312" s="2">
        <v>1.464</v>
      </c>
      <c r="H312" s="2">
        <v>0</v>
      </c>
      <c r="I312" s="2">
        <v>1</v>
      </c>
      <c r="J312" s="2">
        <v>0</v>
      </c>
      <c r="K312" s="6">
        <v>0.18</v>
      </c>
      <c r="L312" s="2">
        <v>880</v>
      </c>
      <c r="M312" s="7">
        <f>(C312+H312)*E312*F312*G312*I312+J312+L312</f>
        <v>9488.32</v>
      </c>
      <c r="N312" s="8">
        <f>((M312/1.21)-L312)*0.18</f>
        <v>1253.0856198347108</v>
      </c>
      <c r="O312" s="9">
        <v>0</v>
      </c>
      <c r="P312" s="8">
        <f>(1-O312)*C312*F312+D312+N312</f>
        <v>5253.085619834711</v>
      </c>
      <c r="Q312" s="36">
        <f>(M312/1.21-P312)/(M312/1.21)</f>
        <v>0.33009915348554852</v>
      </c>
    </row>
    <row r="314" spans="2:17" ht="15.6" customHeight="1" thickBot="1" x14ac:dyDescent="0.3"/>
    <row r="315" spans="2:17" ht="15.6" customHeight="1" x14ac:dyDescent="0.3">
      <c r="B315" s="118" t="s">
        <v>87</v>
      </c>
      <c r="C315" s="106" t="s">
        <v>16</v>
      </c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9"/>
    </row>
    <row r="316" spans="2:17" ht="15.6" customHeight="1" x14ac:dyDescent="0.25">
      <c r="B316" s="119"/>
      <c r="C316" s="1" t="s">
        <v>19</v>
      </c>
      <c r="D316" s="32" t="s">
        <v>2</v>
      </c>
      <c r="E316" s="2" t="s">
        <v>3</v>
      </c>
      <c r="F316" s="2" t="s">
        <v>4</v>
      </c>
      <c r="G316" s="2" t="s">
        <v>5</v>
      </c>
      <c r="H316" s="2" t="s">
        <v>6</v>
      </c>
      <c r="I316" s="2" t="s">
        <v>7</v>
      </c>
      <c r="J316" s="2" t="s">
        <v>8</v>
      </c>
      <c r="K316" s="2" t="s">
        <v>9</v>
      </c>
      <c r="L316" s="2" t="s">
        <v>10</v>
      </c>
      <c r="M316" s="2" t="s">
        <v>11</v>
      </c>
      <c r="N316" s="2" t="s">
        <v>12</v>
      </c>
      <c r="O316" s="2" t="s">
        <v>13</v>
      </c>
      <c r="P316" s="2" t="s">
        <v>14</v>
      </c>
      <c r="Q316" s="3" t="s">
        <v>15</v>
      </c>
    </row>
    <row r="317" spans="2:17" ht="15.6" customHeight="1" x14ac:dyDescent="0.25">
      <c r="B317" s="119"/>
      <c r="C317" s="34">
        <v>40</v>
      </c>
      <c r="D317" s="32">
        <v>31.81</v>
      </c>
      <c r="E317" s="2">
        <v>1.115</v>
      </c>
      <c r="F317" s="2">
        <v>5.35</v>
      </c>
      <c r="G317" s="2">
        <v>1</v>
      </c>
      <c r="H317" s="2">
        <v>30</v>
      </c>
      <c r="I317" s="2">
        <v>1</v>
      </c>
      <c r="J317" s="2">
        <v>0</v>
      </c>
      <c r="K317" s="6">
        <v>0.18</v>
      </c>
      <c r="L317" s="2">
        <v>0</v>
      </c>
      <c r="M317" s="7">
        <f>(C317+H317)*E317*F317*G317*I317+J317</f>
        <v>417.56749999999994</v>
      </c>
      <c r="N317" s="8">
        <f>(M317/1.21)*0.18</f>
        <v>62.117479338842969</v>
      </c>
      <c r="O317" s="9">
        <v>0.4</v>
      </c>
      <c r="P317" s="8">
        <f>(((1-O317)*C317)/1.23)*F317+(D317*F317)+N317</f>
        <v>336.69122324128193</v>
      </c>
      <c r="Q317" s="36">
        <f>(M317/1.21-P317)/(M317/1.21)</f>
        <v>2.4358025655849262E-2</v>
      </c>
    </row>
    <row r="318" spans="2:17" ht="15.6" customHeight="1" x14ac:dyDescent="0.25">
      <c r="B318" s="119"/>
      <c r="C318" s="34">
        <v>100</v>
      </c>
      <c r="D318" s="32">
        <v>31.81</v>
      </c>
      <c r="E318" s="2">
        <v>0.98199999999999998</v>
      </c>
      <c r="F318" s="2">
        <v>5.35</v>
      </c>
      <c r="G318" s="2">
        <v>1</v>
      </c>
      <c r="H318" s="2">
        <v>30</v>
      </c>
      <c r="I318" s="2">
        <v>1</v>
      </c>
      <c r="J318" s="2">
        <v>0</v>
      </c>
      <c r="K318" s="6">
        <v>0.18</v>
      </c>
      <c r="L318" s="2">
        <v>0</v>
      </c>
      <c r="M318" s="7">
        <f t="shared" ref="M318:M321" si="66">(C318+H318)*E318*F318*G318*I318+J318</f>
        <v>682.98099999999988</v>
      </c>
      <c r="N318" s="8">
        <f t="shared" ref="N318:N321" si="67">(M318/1.21)*0.18</f>
        <v>101.60047933884296</v>
      </c>
      <c r="O318" s="9">
        <v>0.4</v>
      </c>
      <c r="P318" s="8">
        <f t="shared" ref="P318:P321" si="68">(((1-O318)*C318)/1.23)*F318+(D318*F318)+N318</f>
        <v>532.75958909494045</v>
      </c>
      <c r="Q318" s="36">
        <f>(M318/1.21-P318)/(M318/1.21)</f>
        <v>5.6139039292633308E-2</v>
      </c>
    </row>
    <row r="319" spans="2:17" ht="15.6" customHeight="1" x14ac:dyDescent="0.25">
      <c r="B319" s="119"/>
      <c r="C319" s="34">
        <v>200</v>
      </c>
      <c r="D319" s="32">
        <v>31.81</v>
      </c>
      <c r="E319" s="2">
        <v>0.91200000000000003</v>
      </c>
      <c r="F319" s="2">
        <v>5.35</v>
      </c>
      <c r="G319" s="2">
        <v>1</v>
      </c>
      <c r="H319" s="2">
        <v>30</v>
      </c>
      <c r="I319" s="2">
        <v>1</v>
      </c>
      <c r="J319" s="2">
        <v>0</v>
      </c>
      <c r="K319" s="6">
        <v>0.18</v>
      </c>
      <c r="L319" s="2">
        <v>0</v>
      </c>
      <c r="M319" s="7">
        <f t="shared" si="66"/>
        <v>1122.2160000000001</v>
      </c>
      <c r="N319" s="8">
        <f t="shared" si="67"/>
        <v>166.94122314049588</v>
      </c>
      <c r="O319" s="9">
        <v>0.4</v>
      </c>
      <c r="P319" s="8">
        <f t="shared" si="68"/>
        <v>859.07594265269086</v>
      </c>
      <c r="Q319" s="36">
        <f>(M319/1.21-P319)/(M319/1.21)</f>
        <v>7.3723872579115085E-2</v>
      </c>
    </row>
    <row r="320" spans="2:17" ht="15.6" customHeight="1" x14ac:dyDescent="0.25">
      <c r="B320" s="119"/>
      <c r="C320" s="34">
        <v>350</v>
      </c>
      <c r="D320" s="32">
        <v>31.81</v>
      </c>
      <c r="E320" s="2">
        <v>0.875</v>
      </c>
      <c r="F320" s="2">
        <v>5.35</v>
      </c>
      <c r="G320" s="2">
        <v>1</v>
      </c>
      <c r="H320" s="2">
        <v>30</v>
      </c>
      <c r="I320" s="2">
        <v>1</v>
      </c>
      <c r="J320" s="2">
        <v>0</v>
      </c>
      <c r="K320" s="6">
        <v>0.18</v>
      </c>
      <c r="L320" s="2">
        <v>0</v>
      </c>
      <c r="M320" s="7">
        <f t="shared" si="66"/>
        <v>1778.8749999999998</v>
      </c>
      <c r="N320" s="8">
        <f t="shared" si="67"/>
        <v>264.6260330578512</v>
      </c>
      <c r="O320" s="9">
        <v>0.4</v>
      </c>
      <c r="P320" s="8">
        <f t="shared" si="68"/>
        <v>1348.2241672041928</v>
      </c>
      <c r="Q320" s="36">
        <f>(M320/1.21-P320)/(M320/1.21)</f>
        <v>8.2930929763432804E-2</v>
      </c>
    </row>
    <row r="321" spans="2:17" ht="15.6" customHeight="1" x14ac:dyDescent="0.25">
      <c r="B321" s="119"/>
      <c r="C321" s="34">
        <v>400</v>
      </c>
      <c r="D321" s="32">
        <v>31.81</v>
      </c>
      <c r="E321" s="2">
        <v>0.86699999999999999</v>
      </c>
      <c r="F321" s="2">
        <v>5.35</v>
      </c>
      <c r="G321" s="2">
        <v>1</v>
      </c>
      <c r="H321" s="2">
        <v>30</v>
      </c>
      <c r="I321" s="2">
        <v>1</v>
      </c>
      <c r="J321" s="2">
        <v>0</v>
      </c>
      <c r="K321" s="6">
        <v>0.18</v>
      </c>
      <c r="L321" s="2">
        <v>0</v>
      </c>
      <c r="M321" s="7">
        <f t="shared" si="66"/>
        <v>1994.5334999999998</v>
      </c>
      <c r="N321" s="8">
        <f t="shared" si="67"/>
        <v>296.70746280991733</v>
      </c>
      <c r="O321" s="9">
        <v>0.4</v>
      </c>
      <c r="P321" s="8">
        <f t="shared" si="68"/>
        <v>1510.7934018343074</v>
      </c>
      <c r="Q321" s="36">
        <f>(M321/1.21-P321)/(M321/1.21)</f>
        <v>8.3464872252327682E-2</v>
      </c>
    </row>
    <row r="322" spans="2:17" ht="15.6" customHeight="1" x14ac:dyDescent="0.25">
      <c r="B322" s="119"/>
      <c r="Q322" s="18"/>
    </row>
    <row r="323" spans="2:17" ht="15.6" customHeight="1" x14ac:dyDescent="0.3">
      <c r="B323" s="119"/>
      <c r="C323" s="107" t="s">
        <v>17</v>
      </c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9"/>
    </row>
    <row r="324" spans="2:17" ht="15.6" customHeight="1" x14ac:dyDescent="0.25">
      <c r="B324" s="119"/>
      <c r="C324" s="1" t="s">
        <v>19</v>
      </c>
      <c r="D324" s="32" t="s">
        <v>2</v>
      </c>
      <c r="E324" s="2" t="s">
        <v>3</v>
      </c>
      <c r="F324" s="2" t="s">
        <v>4</v>
      </c>
      <c r="G324" s="2" t="s">
        <v>5</v>
      </c>
      <c r="H324" s="2" t="s">
        <v>6</v>
      </c>
      <c r="I324" s="2" t="s">
        <v>7</v>
      </c>
      <c r="J324" s="2" t="s">
        <v>8</v>
      </c>
      <c r="K324" s="2" t="s">
        <v>9</v>
      </c>
      <c r="L324" s="2" t="s">
        <v>10</v>
      </c>
      <c r="M324" s="2" t="s">
        <v>11</v>
      </c>
      <c r="N324" s="2" t="s">
        <v>12</v>
      </c>
      <c r="O324" s="2" t="s">
        <v>13</v>
      </c>
      <c r="P324" s="2" t="s">
        <v>14</v>
      </c>
      <c r="Q324" s="3" t="s">
        <v>15</v>
      </c>
    </row>
    <row r="325" spans="2:17" ht="15.6" customHeight="1" x14ac:dyDescent="0.25">
      <c r="B325" s="119"/>
      <c r="C325" s="34">
        <v>40</v>
      </c>
      <c r="D325" s="32">
        <v>22.31</v>
      </c>
      <c r="E325" s="2">
        <v>0.80700000000000005</v>
      </c>
      <c r="F325" s="2">
        <v>5.35</v>
      </c>
      <c r="G325" s="2">
        <v>1</v>
      </c>
      <c r="H325" s="2">
        <v>20</v>
      </c>
      <c r="I325" s="2">
        <v>1</v>
      </c>
      <c r="J325" s="2">
        <v>0</v>
      </c>
      <c r="K325" s="6">
        <v>0.18</v>
      </c>
      <c r="L325" s="2">
        <v>49</v>
      </c>
      <c r="M325" s="7">
        <f>(C325+H325)*E325*F325*G325*I325+J325</f>
        <v>259.04699999999997</v>
      </c>
      <c r="N325" s="8">
        <f>((M325/1.21))*0.18</f>
        <v>38.5359173553719</v>
      </c>
      <c r="O325" s="9">
        <v>0.4</v>
      </c>
      <c r="P325" s="8">
        <f>(((1-O325)*C325)/1.23)*F325+(D325*F325)+N325</f>
        <v>262.28466125781091</v>
      </c>
      <c r="Q325" s="36">
        <f>(M325/1.21-P325)/(M325/1.21)</f>
        <v>-0.22512300903678181</v>
      </c>
    </row>
    <row r="326" spans="2:17" ht="15.6" customHeight="1" x14ac:dyDescent="0.25">
      <c r="B326" s="119"/>
      <c r="C326" s="34">
        <v>100</v>
      </c>
      <c r="D326" s="32">
        <v>22.31</v>
      </c>
      <c r="E326" s="2">
        <v>0.81799999999999995</v>
      </c>
      <c r="F326" s="2">
        <v>5.35</v>
      </c>
      <c r="G326" s="2">
        <v>1</v>
      </c>
      <c r="H326" s="2">
        <v>20</v>
      </c>
      <c r="I326" s="2">
        <v>1</v>
      </c>
      <c r="J326" s="2">
        <v>0</v>
      </c>
      <c r="K326" s="6">
        <v>0.18</v>
      </c>
      <c r="L326" s="2">
        <v>49</v>
      </c>
      <c r="M326" s="7">
        <f t="shared" ref="M326:M329" si="69">(C326+H326)*E326*F326*G326*I326+J326</f>
        <v>525.15599999999995</v>
      </c>
      <c r="N326" s="8">
        <f t="shared" ref="N326:N329" si="70">((M326/1.21))*0.18</f>
        <v>78.122380165289243</v>
      </c>
      <c r="O326" s="9">
        <v>0.4</v>
      </c>
      <c r="P326" s="8">
        <f t="shared" ref="P326:P329" si="71">(((1-O326)*C326)/1.23)*F326+(D326*F326)+N326</f>
        <v>458.45648992138678</v>
      </c>
      <c r="Q326" s="36">
        <f>(M326/1.21-P326)/(M326/1.21)</f>
        <v>-5.6319175263879785E-2</v>
      </c>
    </row>
    <row r="327" spans="2:17" ht="15.6" customHeight="1" x14ac:dyDescent="0.25">
      <c r="B327" s="119"/>
      <c r="C327" s="34">
        <v>200</v>
      </c>
      <c r="D327" s="32">
        <v>22.31</v>
      </c>
      <c r="E327" s="2">
        <v>0.82099999999999995</v>
      </c>
      <c r="F327" s="2">
        <v>5.35</v>
      </c>
      <c r="G327" s="2">
        <v>1</v>
      </c>
      <c r="H327" s="2">
        <v>20</v>
      </c>
      <c r="I327" s="2">
        <v>1</v>
      </c>
      <c r="J327" s="2">
        <v>0</v>
      </c>
      <c r="K327" s="6">
        <v>0.18</v>
      </c>
      <c r="L327" s="2">
        <v>49</v>
      </c>
      <c r="M327" s="7">
        <f t="shared" si="69"/>
        <v>966.31699999999978</v>
      </c>
      <c r="N327" s="8">
        <f t="shared" si="70"/>
        <v>143.74963636363631</v>
      </c>
      <c r="O327" s="9">
        <v>0.4</v>
      </c>
      <c r="P327" s="8">
        <f t="shared" si="71"/>
        <v>785.05935587583133</v>
      </c>
      <c r="Q327" s="36">
        <f>(M327/1.21-P327)/(M327/1.21)</f>
        <v>1.6966667656932288E-2</v>
      </c>
    </row>
    <row r="328" spans="2:17" ht="15.6" customHeight="1" x14ac:dyDescent="0.25">
      <c r="B328" s="119"/>
      <c r="C328" s="34">
        <v>350</v>
      </c>
      <c r="D328" s="32">
        <v>22.31</v>
      </c>
      <c r="E328" s="2">
        <v>0.82099999999999995</v>
      </c>
      <c r="F328" s="2">
        <v>5.35</v>
      </c>
      <c r="G328" s="2">
        <v>1</v>
      </c>
      <c r="H328" s="2">
        <v>20</v>
      </c>
      <c r="I328" s="2">
        <v>1</v>
      </c>
      <c r="J328" s="2">
        <v>0</v>
      </c>
      <c r="K328" s="6">
        <v>0.18</v>
      </c>
      <c r="L328" s="2">
        <v>49</v>
      </c>
      <c r="M328" s="7">
        <f t="shared" si="69"/>
        <v>1625.1694999999997</v>
      </c>
      <c r="N328" s="8">
        <f t="shared" si="70"/>
        <v>241.76075206611566</v>
      </c>
      <c r="O328" s="9">
        <v>0.4</v>
      </c>
      <c r="P328" s="8">
        <f t="shared" si="71"/>
        <v>1274.5338862124572</v>
      </c>
      <c r="Q328" s="36">
        <f>(M328/1.21-P328)/(M328/1.21)</f>
        <v>5.1061441703727846E-2</v>
      </c>
    </row>
    <row r="329" spans="2:17" ht="15.6" customHeight="1" thickBot="1" x14ac:dyDescent="0.3">
      <c r="B329" s="120"/>
      <c r="C329" s="34">
        <v>400</v>
      </c>
      <c r="D329" s="32">
        <v>22.31</v>
      </c>
      <c r="E329" s="2">
        <v>0.81899999999999995</v>
      </c>
      <c r="F329" s="2">
        <v>5.35</v>
      </c>
      <c r="G329" s="2">
        <v>1</v>
      </c>
      <c r="H329" s="2">
        <v>20</v>
      </c>
      <c r="I329" s="2">
        <v>1</v>
      </c>
      <c r="J329" s="2">
        <v>0</v>
      </c>
      <c r="K329" s="6">
        <v>0.18</v>
      </c>
      <c r="L329" s="2">
        <v>49</v>
      </c>
      <c r="M329" s="7">
        <f t="shared" si="69"/>
        <v>1840.2929999999997</v>
      </c>
      <c r="N329" s="8">
        <f t="shared" si="70"/>
        <v>273.7625950413223</v>
      </c>
      <c r="O329" s="9">
        <v>0.4</v>
      </c>
      <c r="P329" s="8">
        <f t="shared" si="71"/>
        <v>1437.0235340657125</v>
      </c>
      <c r="Q329" s="36">
        <f>(M329/1.21-P329)/(M329/1.21)</f>
        <v>5.5151285029333766E-2</v>
      </c>
    </row>
    <row r="331" spans="2:17" ht="15.6" customHeight="1" thickBot="1" x14ac:dyDescent="0.3"/>
    <row r="332" spans="2:17" ht="15.6" customHeight="1" x14ac:dyDescent="0.3">
      <c r="B332" s="103" t="s">
        <v>88</v>
      </c>
      <c r="C332" s="106" t="s">
        <v>16</v>
      </c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9"/>
    </row>
    <row r="333" spans="2:17" ht="15.6" customHeight="1" x14ac:dyDescent="0.25">
      <c r="B333" s="104"/>
      <c r="C333" s="1" t="s">
        <v>1</v>
      </c>
      <c r="D333" s="32" t="s">
        <v>2</v>
      </c>
      <c r="E333" s="2" t="s">
        <v>3</v>
      </c>
      <c r="F333" s="2" t="s">
        <v>4</v>
      </c>
      <c r="G333" s="2" t="s">
        <v>5</v>
      </c>
      <c r="H333" s="2" t="s">
        <v>6</v>
      </c>
      <c r="I333" s="2" t="s">
        <v>7</v>
      </c>
      <c r="J333" s="2" t="s">
        <v>8</v>
      </c>
      <c r="K333" s="2" t="s">
        <v>9</v>
      </c>
      <c r="L333" s="2" t="s">
        <v>10</v>
      </c>
      <c r="M333" s="2" t="s">
        <v>11</v>
      </c>
      <c r="N333" s="2" t="s">
        <v>12</v>
      </c>
      <c r="O333" s="2" t="s">
        <v>13</v>
      </c>
      <c r="P333" s="2" t="s">
        <v>14</v>
      </c>
      <c r="Q333" s="3" t="s">
        <v>15</v>
      </c>
    </row>
    <row r="334" spans="2:17" ht="15.6" customHeight="1" x14ac:dyDescent="0.25">
      <c r="B334" s="104"/>
      <c r="C334" s="34">
        <v>24.18</v>
      </c>
      <c r="D334" s="32">
        <v>31.81</v>
      </c>
      <c r="E334" s="2">
        <v>1.21</v>
      </c>
      <c r="F334" s="2">
        <v>5.35</v>
      </c>
      <c r="G334" s="2">
        <v>1.23</v>
      </c>
      <c r="H334" s="2">
        <v>30</v>
      </c>
      <c r="I334" s="2">
        <v>1</v>
      </c>
      <c r="J334" s="2">
        <v>0</v>
      </c>
      <c r="K334" s="6">
        <v>0.18</v>
      </c>
      <c r="L334" s="2">
        <v>0</v>
      </c>
      <c r="M334" s="7">
        <f>(C334+H334)*E334*F334*G334*I334+J334</f>
        <v>431.40310289999996</v>
      </c>
      <c r="N334" s="8">
        <f>((M334/1.21))*0.18</f>
        <v>64.17566819999999</v>
      </c>
      <c r="O334" s="9">
        <v>0</v>
      </c>
      <c r="P334" s="8">
        <f>(1-O334)*C334*F334+(D334*F334)+N334</f>
        <v>363.72216819999994</v>
      </c>
      <c r="Q334" s="36">
        <f>(M334/1.21-P334)/(M334/1.21)</f>
        <v>-2.0168423832632513E-2</v>
      </c>
    </row>
    <row r="335" spans="2:17" ht="15.6" customHeight="1" x14ac:dyDescent="0.25">
      <c r="B335" s="104"/>
      <c r="C335" s="34">
        <v>47.68</v>
      </c>
      <c r="D335" s="32">
        <v>31.81</v>
      </c>
      <c r="E335" s="2">
        <v>1.23</v>
      </c>
      <c r="F335" s="2">
        <v>5.35</v>
      </c>
      <c r="G335" s="2">
        <v>1.23</v>
      </c>
      <c r="H335" s="2">
        <v>30</v>
      </c>
      <c r="I335" s="2">
        <v>1</v>
      </c>
      <c r="J335" s="2">
        <v>0</v>
      </c>
      <c r="K335" s="6">
        <v>0.18</v>
      </c>
      <c r="L335" s="2">
        <v>0</v>
      </c>
      <c r="M335" s="7">
        <f t="shared" ref="M335:M336" si="72">(C335+H335)*E335*F335*G335*I335+J335</f>
        <v>628.7430852</v>
      </c>
      <c r="N335" s="8">
        <f t="shared" ref="N335:N338" si="73">((M335/1.21))*0.18</f>
        <v>93.532029203305783</v>
      </c>
      <c r="O335" s="9">
        <v>0</v>
      </c>
      <c r="P335" s="8">
        <f>(1-O335)*C335*F335+(D335*F335)+N335</f>
        <v>518.80352920330574</v>
      </c>
      <c r="Q335" s="36">
        <f>(M335/1.21-P335)/(M335/1.21)</f>
        <v>1.5758660211505615E-3</v>
      </c>
    </row>
    <row r="336" spans="2:17" ht="15.6" customHeight="1" x14ac:dyDescent="0.25">
      <c r="B336" s="104"/>
      <c r="C336" s="34">
        <v>102.97</v>
      </c>
      <c r="D336" s="32">
        <v>31.81</v>
      </c>
      <c r="E336" s="2">
        <v>1.25</v>
      </c>
      <c r="F336" s="2">
        <v>5.35</v>
      </c>
      <c r="G336" s="2">
        <v>1.23</v>
      </c>
      <c r="H336" s="2">
        <v>30</v>
      </c>
      <c r="I336" s="2">
        <v>1</v>
      </c>
      <c r="J336" s="2">
        <v>0</v>
      </c>
      <c r="K336" s="6">
        <v>0.18</v>
      </c>
      <c r="L336" s="2">
        <v>0</v>
      </c>
      <c r="M336" s="7">
        <f t="shared" si="72"/>
        <v>1093.7613562499998</v>
      </c>
      <c r="N336" s="8">
        <f t="shared" si="73"/>
        <v>162.70830092975203</v>
      </c>
      <c r="O336" s="9">
        <v>0</v>
      </c>
      <c r="P336" s="8">
        <f>(1-O336)*C336*F336+(D336*F336)+N336</f>
        <v>883.78130092975198</v>
      </c>
      <c r="Q336" s="36">
        <f>(M336/1.21-P336)/(M336/1.21)</f>
        <v>2.2295523594477822E-2</v>
      </c>
    </row>
    <row r="337" spans="2:17" ht="15.6" customHeight="1" x14ac:dyDescent="0.25">
      <c r="B337" s="104"/>
      <c r="C337" s="34">
        <v>891.46</v>
      </c>
      <c r="D337" s="32">
        <v>31.81</v>
      </c>
      <c r="E337" s="2">
        <v>1.27</v>
      </c>
      <c r="F337" s="2">
        <v>5.35</v>
      </c>
      <c r="G337" s="2">
        <v>1.23</v>
      </c>
      <c r="H337" s="2">
        <v>30</v>
      </c>
      <c r="I337" s="2">
        <v>1</v>
      </c>
      <c r="J337" s="2">
        <v>0</v>
      </c>
      <c r="K337" s="6">
        <v>0.18</v>
      </c>
      <c r="L337" s="2">
        <v>0</v>
      </c>
      <c r="M337" s="7">
        <f>(C337+H337)*E337*F337*G337*I337+J337</f>
        <v>7700.8577631000007</v>
      </c>
      <c r="N337" s="8">
        <f t="shared" si="73"/>
        <v>1145.5821465768597</v>
      </c>
      <c r="O337" s="9">
        <v>0</v>
      </c>
      <c r="P337" s="8">
        <f>(1-O337)*C337*F337+(D337*F337)+N337</f>
        <v>6085.0766465768593</v>
      </c>
      <c r="Q337" s="36">
        <f>(M337/1.21-P337)/(M337/1.21)</f>
        <v>4.3880179473146479E-2</v>
      </c>
    </row>
    <row r="338" spans="2:17" ht="15.6" customHeight="1" x14ac:dyDescent="0.25">
      <c r="B338" s="104"/>
      <c r="C338" s="34">
        <v>3172</v>
      </c>
      <c r="D338" s="32">
        <v>31.81</v>
      </c>
      <c r="E338" s="2">
        <v>1.2649999999999999</v>
      </c>
      <c r="F338" s="2">
        <v>5.35</v>
      </c>
      <c r="G338" s="2">
        <v>1.23</v>
      </c>
      <c r="H338" s="2">
        <v>30</v>
      </c>
      <c r="I338" s="2">
        <v>1</v>
      </c>
      <c r="J338" s="2">
        <v>0</v>
      </c>
      <c r="K338" s="6">
        <v>0.18</v>
      </c>
      <c r="L338" s="2">
        <v>0</v>
      </c>
      <c r="M338" s="7">
        <f t="shared" ref="M338" si="74">(C338+H338)*E338*F338*G338*I338+J338</f>
        <v>26654.512664999995</v>
      </c>
      <c r="N338" s="8">
        <f t="shared" si="73"/>
        <v>3965.1341154545448</v>
      </c>
      <c r="O338" s="9">
        <v>0</v>
      </c>
      <c r="P338" s="8">
        <f>(1-O338)*C338*F338+(D338*F338)+N338</f>
        <v>21105.517615454541</v>
      </c>
      <c r="Q338" s="36">
        <f>(M338/1.21-P338)/(M338/1.21)</f>
        <v>4.1900460321171756E-2</v>
      </c>
    </row>
    <row r="339" spans="2:17" ht="15.6" customHeight="1" x14ac:dyDescent="0.25">
      <c r="B339" s="104"/>
      <c r="Q339" s="18"/>
    </row>
    <row r="340" spans="2:17" ht="15.6" customHeight="1" x14ac:dyDescent="0.3">
      <c r="B340" s="104"/>
      <c r="C340" s="107" t="s">
        <v>17</v>
      </c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9"/>
    </row>
    <row r="341" spans="2:17" ht="15.6" customHeight="1" x14ac:dyDescent="0.25">
      <c r="B341" s="104"/>
      <c r="C341" s="1" t="s">
        <v>1</v>
      </c>
      <c r="D341" s="32" t="s">
        <v>2</v>
      </c>
      <c r="E341" s="2" t="s">
        <v>3</v>
      </c>
      <c r="F341" s="2" t="s">
        <v>4</v>
      </c>
      <c r="G341" s="2" t="s">
        <v>5</v>
      </c>
      <c r="H341" s="2" t="s">
        <v>6</v>
      </c>
      <c r="I341" s="2" t="s">
        <v>7</v>
      </c>
      <c r="J341" s="2" t="s">
        <v>8</v>
      </c>
      <c r="K341" s="2" t="s">
        <v>9</v>
      </c>
      <c r="L341" s="2" t="s">
        <v>10</v>
      </c>
      <c r="M341" s="2" t="s">
        <v>11</v>
      </c>
      <c r="N341" s="2" t="s">
        <v>12</v>
      </c>
      <c r="O341" s="2" t="s">
        <v>13</v>
      </c>
      <c r="P341" s="2" t="s">
        <v>14</v>
      </c>
      <c r="Q341" s="3" t="s">
        <v>15</v>
      </c>
    </row>
    <row r="342" spans="2:17" ht="15.6" customHeight="1" x14ac:dyDescent="0.25">
      <c r="B342" s="104"/>
      <c r="C342" s="34">
        <v>24.18</v>
      </c>
      <c r="D342" s="32">
        <v>22.31</v>
      </c>
      <c r="E342" s="2">
        <v>0.97</v>
      </c>
      <c r="F342" s="2">
        <v>5.35</v>
      </c>
      <c r="G342" s="2">
        <v>1.23</v>
      </c>
      <c r="H342" s="2">
        <v>20</v>
      </c>
      <c r="I342" s="2">
        <v>1</v>
      </c>
      <c r="J342" s="2">
        <v>0</v>
      </c>
      <c r="K342" s="6">
        <v>0.18</v>
      </c>
      <c r="L342" s="2">
        <v>49</v>
      </c>
      <c r="M342" s="7">
        <f>(C342+H342)*E342*F342*G342*I342+J342</f>
        <v>282.00469529999998</v>
      </c>
      <c r="N342" s="8">
        <f>((M342/1.21))*0.18</f>
        <v>41.951111697520659</v>
      </c>
      <c r="O342" s="9">
        <v>0</v>
      </c>
      <c r="P342" s="8">
        <f>(1-O342)*C342*F342+(D342*F342)+N342</f>
        <v>290.67261169752067</v>
      </c>
      <c r="Q342" s="36">
        <f>(M342/1.21-P342)/(M342/1.21)</f>
        <v>-0.24719150431109871</v>
      </c>
    </row>
    <row r="343" spans="2:17" ht="15.6" customHeight="1" x14ac:dyDescent="0.25">
      <c r="B343" s="104"/>
      <c r="C343" s="34">
        <v>47.68</v>
      </c>
      <c r="D343" s="32">
        <v>22.31</v>
      </c>
      <c r="E343" s="2">
        <v>1.077</v>
      </c>
      <c r="F343" s="2">
        <v>5.35</v>
      </c>
      <c r="G343" s="2">
        <v>1.23</v>
      </c>
      <c r="H343" s="2">
        <v>20</v>
      </c>
      <c r="I343" s="2">
        <v>1</v>
      </c>
      <c r="J343" s="2">
        <v>0</v>
      </c>
      <c r="K343" s="6">
        <v>0.18</v>
      </c>
      <c r="L343" s="2">
        <v>49</v>
      </c>
      <c r="M343" s="7">
        <f t="shared" ref="M343:M346" si="75">(C343+H343)*E343*F343*G343*I343+J343</f>
        <v>479.66159447999996</v>
      </c>
      <c r="N343" s="8">
        <f t="shared" ref="N343:N346" si="76">((M343/1.21))*0.18</f>
        <v>71.354617360661152</v>
      </c>
      <c r="O343" s="9">
        <v>0</v>
      </c>
      <c r="P343" s="8">
        <f t="shared" ref="P343:P346" si="77">(1-O343)*C343*F343+(D343*F343)+N343</f>
        <v>445.80111736066118</v>
      </c>
      <c r="Q343" s="36">
        <f>(M343/1.21-P343)/(M343/1.21)</f>
        <v>-0.12458316074102894</v>
      </c>
    </row>
    <row r="344" spans="2:17" ht="15.6" customHeight="1" x14ac:dyDescent="0.25">
      <c r="B344" s="104"/>
      <c r="C344" s="34">
        <v>102.97</v>
      </c>
      <c r="D344" s="32">
        <v>22.31</v>
      </c>
      <c r="E344" s="2">
        <v>1.17</v>
      </c>
      <c r="F344" s="2">
        <v>5.35</v>
      </c>
      <c r="G344" s="2">
        <v>1.23</v>
      </c>
      <c r="H344" s="2">
        <v>20</v>
      </c>
      <c r="I344" s="2">
        <v>1</v>
      </c>
      <c r="J344" s="2">
        <v>0</v>
      </c>
      <c r="K344" s="6">
        <v>0.18</v>
      </c>
      <c r="L344" s="2">
        <v>49</v>
      </c>
      <c r="M344" s="7">
        <f t="shared" si="75"/>
        <v>946.7687794499999</v>
      </c>
      <c r="N344" s="8">
        <f t="shared" si="76"/>
        <v>140.84163661239668</v>
      </c>
      <c r="O344" s="9">
        <v>0</v>
      </c>
      <c r="P344" s="8">
        <f t="shared" si="77"/>
        <v>811.0896366123967</v>
      </c>
      <c r="Q344" s="36">
        <f>(M344/1.21-P344)/(M344/1.21)</f>
        <v>-3.6597827899573235E-2</v>
      </c>
    </row>
    <row r="345" spans="2:17" ht="15.6" customHeight="1" x14ac:dyDescent="0.25">
      <c r="B345" s="104"/>
      <c r="C345" s="34">
        <v>891.46</v>
      </c>
      <c r="D345" s="32">
        <v>22.31</v>
      </c>
      <c r="E345" s="2">
        <v>1.26</v>
      </c>
      <c r="F345" s="2">
        <v>5.35</v>
      </c>
      <c r="G345" s="2">
        <v>1.23</v>
      </c>
      <c r="H345" s="2">
        <v>20</v>
      </c>
      <c r="I345" s="2">
        <v>1</v>
      </c>
      <c r="J345" s="2">
        <v>0</v>
      </c>
      <c r="K345" s="6">
        <v>0.18</v>
      </c>
      <c r="L345" s="2">
        <v>49</v>
      </c>
      <c r="M345" s="7">
        <f t="shared" si="75"/>
        <v>7557.3067878000011</v>
      </c>
      <c r="N345" s="8">
        <f t="shared" si="76"/>
        <v>1124.2274560363637</v>
      </c>
      <c r="O345" s="9">
        <v>0</v>
      </c>
      <c r="P345" s="8">
        <f t="shared" si="77"/>
        <v>6012.8969560363639</v>
      </c>
      <c r="Q345" s="36">
        <f>(M345/1.21-P345)/(M345/1.21)</f>
        <v>3.7275378505310972E-2</v>
      </c>
    </row>
    <row r="346" spans="2:17" ht="15.6" customHeight="1" thickBot="1" x14ac:dyDescent="0.3">
      <c r="B346" s="105"/>
      <c r="C346" s="34">
        <v>3172</v>
      </c>
      <c r="D346" s="32">
        <v>22.31</v>
      </c>
      <c r="E346" s="2">
        <v>1.26</v>
      </c>
      <c r="F346" s="2">
        <v>5.35</v>
      </c>
      <c r="G346" s="2">
        <v>1.23</v>
      </c>
      <c r="H346" s="2">
        <v>20</v>
      </c>
      <c r="I346" s="2">
        <v>1</v>
      </c>
      <c r="J346" s="2">
        <v>0</v>
      </c>
      <c r="K346" s="6">
        <v>0.18</v>
      </c>
      <c r="L346" s="2">
        <v>49</v>
      </c>
      <c r="M346" s="7">
        <f t="shared" si="75"/>
        <v>26466.244559999996</v>
      </c>
      <c r="N346" s="8">
        <f t="shared" si="76"/>
        <v>3937.1272899173546</v>
      </c>
      <c r="O346" s="9">
        <v>0</v>
      </c>
      <c r="P346" s="8">
        <f t="shared" si="77"/>
        <v>21026.685789917348</v>
      </c>
      <c r="Q346" s="36">
        <f>(M346/1.21-P346)/(M346/1.21)</f>
        <v>3.8689083820662898E-2</v>
      </c>
    </row>
    <row r="348" spans="2:17" ht="15.6" customHeight="1" thickBot="1" x14ac:dyDescent="0.3"/>
    <row r="349" spans="2:17" ht="15.6" customHeight="1" x14ac:dyDescent="0.3">
      <c r="B349" s="103" t="s">
        <v>89</v>
      </c>
      <c r="C349" s="106" t="s">
        <v>16</v>
      </c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9"/>
    </row>
    <row r="350" spans="2:17" ht="15.6" customHeight="1" x14ac:dyDescent="0.25">
      <c r="B350" s="104"/>
      <c r="C350" s="1" t="s">
        <v>1</v>
      </c>
      <c r="D350" s="32" t="s">
        <v>2</v>
      </c>
      <c r="E350" s="2" t="s">
        <v>3</v>
      </c>
      <c r="F350" s="2" t="s">
        <v>4</v>
      </c>
      <c r="G350" s="2" t="s">
        <v>5</v>
      </c>
      <c r="H350" s="2" t="s">
        <v>6</v>
      </c>
      <c r="I350" s="2" t="s">
        <v>7</v>
      </c>
      <c r="J350" s="2" t="s">
        <v>8</v>
      </c>
      <c r="K350" s="2" t="s">
        <v>9</v>
      </c>
      <c r="L350" s="2" t="s">
        <v>10</v>
      </c>
      <c r="M350" s="2" t="s">
        <v>11</v>
      </c>
      <c r="N350" s="2" t="s">
        <v>12</v>
      </c>
      <c r="O350" s="2" t="s">
        <v>13</v>
      </c>
      <c r="P350" s="2" t="s">
        <v>14</v>
      </c>
      <c r="Q350" s="3" t="s">
        <v>15</v>
      </c>
    </row>
    <row r="351" spans="2:17" ht="15.6" customHeight="1" x14ac:dyDescent="0.25">
      <c r="B351" s="104"/>
      <c r="C351" s="34">
        <v>31</v>
      </c>
      <c r="D351" s="32">
        <v>31.81</v>
      </c>
      <c r="E351" s="2">
        <v>1.3</v>
      </c>
      <c r="F351" s="2">
        <v>5.35</v>
      </c>
      <c r="G351" s="2">
        <v>1.23</v>
      </c>
      <c r="H351" s="2">
        <v>30</v>
      </c>
      <c r="I351" s="2">
        <v>1</v>
      </c>
      <c r="J351" s="2">
        <v>0</v>
      </c>
      <c r="K351" s="6">
        <v>0.18</v>
      </c>
      <c r="L351" s="2">
        <v>0</v>
      </c>
      <c r="M351" s="7">
        <f>(C351+H351)*E351*F351*G351*I351+J351</f>
        <v>521.83364999999992</v>
      </c>
      <c r="N351" s="8">
        <f>((M351/1.21))*0.18</f>
        <v>77.628146280991729</v>
      </c>
      <c r="O351" s="9">
        <v>0</v>
      </c>
      <c r="P351" s="8">
        <f>(1-O351)*C351*F351+(D351*F351)+N351</f>
        <v>413.6616462809917</v>
      </c>
      <c r="Q351" s="36">
        <f>(M351/1.21-P351)/(M351/1.21)</f>
        <v>4.0823465485600577E-2</v>
      </c>
    </row>
    <row r="352" spans="2:17" ht="15.6" customHeight="1" x14ac:dyDescent="0.25">
      <c r="B352" s="104"/>
      <c r="C352" s="34">
        <v>100</v>
      </c>
      <c r="D352" s="32">
        <v>31.81</v>
      </c>
      <c r="E352" s="2">
        <v>1.3420000000000001</v>
      </c>
      <c r="F352" s="2">
        <v>5.35</v>
      </c>
      <c r="G352" s="2">
        <v>1.23</v>
      </c>
      <c r="H352" s="2">
        <v>30</v>
      </c>
      <c r="I352" s="2">
        <v>1</v>
      </c>
      <c r="J352" s="2">
        <v>0</v>
      </c>
      <c r="K352" s="6">
        <v>0.18</v>
      </c>
      <c r="L352" s="2">
        <v>0</v>
      </c>
      <c r="M352" s="7">
        <f t="shared" ref="M352:M353" si="78">(C352+H352)*E352*F352*G352*I352+J352</f>
        <v>1148.03403</v>
      </c>
      <c r="N352" s="8">
        <f t="shared" ref="N352:N355" si="79">((M352/1.21))*0.18</f>
        <v>170.78192181818181</v>
      </c>
      <c r="O352" s="9">
        <v>0</v>
      </c>
      <c r="P352" s="8">
        <f>(1-O352)*C352*F352+(D352*F352)+N352</f>
        <v>875.96542181818177</v>
      </c>
      <c r="Q352" s="36">
        <f>(M352/1.21-P352)/(M352/1.21)</f>
        <v>7.6753708772901164E-2</v>
      </c>
    </row>
    <row r="353" spans="2:17" ht="15.6" customHeight="1" x14ac:dyDescent="0.25">
      <c r="B353" s="104"/>
      <c r="C353" s="34">
        <v>200</v>
      </c>
      <c r="D353" s="32">
        <v>31.81</v>
      </c>
      <c r="E353" s="2">
        <v>1.355</v>
      </c>
      <c r="F353" s="2">
        <v>5.35</v>
      </c>
      <c r="G353" s="2">
        <v>1.23</v>
      </c>
      <c r="H353" s="2">
        <v>30</v>
      </c>
      <c r="I353" s="2">
        <v>1</v>
      </c>
      <c r="J353" s="2">
        <v>0</v>
      </c>
      <c r="K353" s="6">
        <v>0.18</v>
      </c>
      <c r="L353" s="2">
        <v>0</v>
      </c>
      <c r="M353" s="7">
        <f t="shared" si="78"/>
        <v>2050.812825</v>
      </c>
      <c r="N353" s="8">
        <f t="shared" si="79"/>
        <v>305.07959380165289</v>
      </c>
      <c r="O353" s="9">
        <v>0</v>
      </c>
      <c r="P353" s="8">
        <f>(1-O353)*C353*F353+(D353*F353)+N353</f>
        <v>1545.263093801653</v>
      </c>
      <c r="Q353" s="36">
        <f>(M353/1.21-P353)/(M353/1.21)</f>
        <v>8.8279378445958331E-2</v>
      </c>
    </row>
    <row r="354" spans="2:17" ht="15.6" customHeight="1" x14ac:dyDescent="0.25">
      <c r="B354" s="104"/>
      <c r="C354" s="34">
        <v>300</v>
      </c>
      <c r="D354" s="32">
        <v>31.81</v>
      </c>
      <c r="E354" s="2">
        <v>1.36</v>
      </c>
      <c r="F354" s="2">
        <v>5.35</v>
      </c>
      <c r="G354" s="2">
        <v>1.23</v>
      </c>
      <c r="H354" s="2">
        <v>30</v>
      </c>
      <c r="I354" s="2">
        <v>1</v>
      </c>
      <c r="J354" s="2">
        <v>0</v>
      </c>
      <c r="K354" s="6">
        <v>0.18</v>
      </c>
      <c r="L354" s="2">
        <v>0</v>
      </c>
      <c r="M354" s="7">
        <f>(C354+H354)*E354*F354*G354*I354+J354</f>
        <v>2953.3283999999999</v>
      </c>
      <c r="N354" s="8">
        <f t="shared" si="79"/>
        <v>439.33810909090903</v>
      </c>
      <c r="O354" s="9">
        <v>0</v>
      </c>
      <c r="P354" s="8">
        <f>(1-O354)*C354*F354+(D354*F354)+N354</f>
        <v>2214.5216090909089</v>
      </c>
      <c r="Q354" s="36">
        <f>(M354/1.21-P354)/(M354/1.21)</f>
        <v>9.2694484297784138E-2</v>
      </c>
    </row>
    <row r="355" spans="2:17" ht="15.6" customHeight="1" x14ac:dyDescent="0.25">
      <c r="B355" s="104"/>
      <c r="C355" s="34">
        <v>340</v>
      </c>
      <c r="D355" s="32">
        <v>31.81</v>
      </c>
      <c r="E355" s="2">
        <v>1.35</v>
      </c>
      <c r="F355" s="2">
        <v>5.35</v>
      </c>
      <c r="G355" s="2">
        <v>1.23</v>
      </c>
      <c r="H355" s="2">
        <v>30</v>
      </c>
      <c r="I355" s="2">
        <v>1</v>
      </c>
      <c r="J355" s="2">
        <v>0</v>
      </c>
      <c r="K355" s="6">
        <v>0.18</v>
      </c>
      <c r="L355" s="2">
        <v>0</v>
      </c>
      <c r="M355" s="7">
        <f t="shared" ref="M355" si="80">(C355+H355)*E355*F355*G355*I355+J355</f>
        <v>3286.9597500000004</v>
      </c>
      <c r="N355" s="8">
        <f t="shared" si="79"/>
        <v>488.96921900826447</v>
      </c>
      <c r="O355" s="9">
        <v>0</v>
      </c>
      <c r="P355" s="8">
        <f>(1-O355)*C355*F355+(D355*F355)+N355</f>
        <v>2478.1527190082643</v>
      </c>
      <c r="Q355" s="36">
        <f>(M355/1.21-P355)/(M355/1.21)</f>
        <v>8.7739121235056367E-2</v>
      </c>
    </row>
    <row r="356" spans="2:17" ht="15.6" customHeight="1" x14ac:dyDescent="0.25">
      <c r="B356" s="104"/>
      <c r="Q356" s="18"/>
    </row>
    <row r="357" spans="2:17" ht="15.6" customHeight="1" x14ac:dyDescent="0.3">
      <c r="B357" s="104"/>
      <c r="C357" s="107" t="s">
        <v>17</v>
      </c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9"/>
    </row>
    <row r="358" spans="2:17" ht="15.6" customHeight="1" x14ac:dyDescent="0.25">
      <c r="B358" s="104"/>
      <c r="C358" s="1" t="s">
        <v>1</v>
      </c>
      <c r="D358" s="32" t="s">
        <v>2</v>
      </c>
      <c r="E358" s="2" t="s">
        <v>3</v>
      </c>
      <c r="F358" s="2" t="s">
        <v>4</v>
      </c>
      <c r="G358" s="2" t="s">
        <v>5</v>
      </c>
      <c r="H358" s="2" t="s">
        <v>6</v>
      </c>
      <c r="I358" s="2" t="s">
        <v>7</v>
      </c>
      <c r="J358" s="2" t="s">
        <v>8</v>
      </c>
      <c r="K358" s="2" t="s">
        <v>9</v>
      </c>
      <c r="L358" s="2" t="s">
        <v>10</v>
      </c>
      <c r="M358" s="2" t="s">
        <v>11</v>
      </c>
      <c r="N358" s="2" t="s">
        <v>12</v>
      </c>
      <c r="O358" s="2" t="s">
        <v>13</v>
      </c>
      <c r="P358" s="2" t="s">
        <v>14</v>
      </c>
      <c r="Q358" s="3" t="s">
        <v>15</v>
      </c>
    </row>
    <row r="359" spans="2:17" ht="15.6" customHeight="1" x14ac:dyDescent="0.25">
      <c r="B359" s="104"/>
      <c r="C359" s="34">
        <v>31</v>
      </c>
      <c r="D359" s="32">
        <v>22.31</v>
      </c>
      <c r="E359" s="2">
        <v>1.085</v>
      </c>
      <c r="F359" s="2">
        <v>5.35</v>
      </c>
      <c r="G359" s="2">
        <v>1.23</v>
      </c>
      <c r="H359" s="2">
        <v>20</v>
      </c>
      <c r="I359" s="2">
        <v>1</v>
      </c>
      <c r="J359" s="2">
        <v>0</v>
      </c>
      <c r="K359" s="6">
        <v>0.18</v>
      </c>
      <c r="L359" s="2">
        <v>49</v>
      </c>
      <c r="M359" s="7">
        <f>(C359+H359)*E359*F359*G359*I359+J359</f>
        <v>364.13196749999997</v>
      </c>
      <c r="N359" s="8">
        <f>((M359/1.21))*0.18</f>
        <v>54.168391859504126</v>
      </c>
      <c r="O359" s="9">
        <v>0</v>
      </c>
      <c r="P359" s="8">
        <f>(1-O359)*C359*F359+(D359*F359)+N359</f>
        <v>339.3768918595041</v>
      </c>
      <c r="Q359" s="36">
        <f>(M359/1.21-P359)/(M359/1.21)</f>
        <v>-0.12773959938027135</v>
      </c>
    </row>
    <row r="360" spans="2:17" ht="15.6" customHeight="1" x14ac:dyDescent="0.25">
      <c r="B360" s="104"/>
      <c r="C360" s="34">
        <v>100</v>
      </c>
      <c r="D360" s="32">
        <v>22.31</v>
      </c>
      <c r="E360" s="2">
        <v>1.256</v>
      </c>
      <c r="F360" s="2">
        <v>5.35</v>
      </c>
      <c r="G360" s="2">
        <v>1.23</v>
      </c>
      <c r="H360" s="2">
        <v>20</v>
      </c>
      <c r="I360" s="2">
        <v>1</v>
      </c>
      <c r="J360" s="2">
        <v>0</v>
      </c>
      <c r="K360" s="6">
        <v>0.18</v>
      </c>
      <c r="L360" s="2">
        <v>49</v>
      </c>
      <c r="M360" s="7">
        <f t="shared" ref="M360:M363" si="81">(C360+H360)*E360*F360*G360*I360+J360</f>
        <v>991.81295999999998</v>
      </c>
      <c r="N360" s="8">
        <f t="shared" ref="N360:N363" si="82">((M360/1.21))*0.18</f>
        <v>147.54242380165289</v>
      </c>
      <c r="O360" s="9">
        <v>0</v>
      </c>
      <c r="P360" s="8">
        <f t="shared" ref="P360:P363" si="83">(1-O360)*C360*F360+(D360*F360)+N360</f>
        <v>801.90092380165288</v>
      </c>
      <c r="Q360" s="36">
        <f>(M360/1.21-P360)/(M360/1.21)</f>
        <v>2.1690422557091839E-2</v>
      </c>
    </row>
    <row r="361" spans="2:17" ht="15.6" customHeight="1" x14ac:dyDescent="0.25">
      <c r="B361" s="104"/>
      <c r="C361" s="34">
        <v>200</v>
      </c>
      <c r="D361" s="32">
        <v>22.31</v>
      </c>
      <c r="E361" s="2">
        <v>1.31</v>
      </c>
      <c r="F361" s="2">
        <v>5.35</v>
      </c>
      <c r="G361" s="2">
        <v>1.23</v>
      </c>
      <c r="H361" s="2">
        <v>20</v>
      </c>
      <c r="I361" s="2">
        <v>1</v>
      </c>
      <c r="J361" s="2">
        <v>0</v>
      </c>
      <c r="K361" s="6">
        <v>0.18</v>
      </c>
      <c r="L361" s="2">
        <v>49</v>
      </c>
      <c r="M361" s="7">
        <f t="shared" si="81"/>
        <v>1896.5000999999997</v>
      </c>
      <c r="N361" s="8">
        <f t="shared" si="82"/>
        <v>282.12398181818179</v>
      </c>
      <c r="O361" s="9">
        <v>0</v>
      </c>
      <c r="P361" s="8">
        <f t="shared" si="83"/>
        <v>1471.4824818181819</v>
      </c>
      <c r="Q361" s="36">
        <f>(M361/1.21-P361)/(M361/1.21)</f>
        <v>6.1168621609880111E-2</v>
      </c>
    </row>
    <row r="362" spans="2:17" ht="15.6" customHeight="1" x14ac:dyDescent="0.25">
      <c r="B362" s="104"/>
      <c r="C362" s="34">
        <v>300</v>
      </c>
      <c r="D362" s="32">
        <v>22.31</v>
      </c>
      <c r="E362" s="2">
        <v>1.33</v>
      </c>
      <c r="F362" s="2">
        <v>5.35</v>
      </c>
      <c r="G362" s="2">
        <v>1.23</v>
      </c>
      <c r="H362" s="2">
        <v>20</v>
      </c>
      <c r="I362" s="2">
        <v>1</v>
      </c>
      <c r="J362" s="2">
        <v>0</v>
      </c>
      <c r="K362" s="6">
        <v>0.18</v>
      </c>
      <c r="L362" s="2">
        <v>49</v>
      </c>
      <c r="M362" s="7">
        <f t="shared" si="81"/>
        <v>2800.6608000000001</v>
      </c>
      <c r="N362" s="8">
        <f t="shared" si="82"/>
        <v>416.62722644628099</v>
      </c>
      <c r="O362" s="9">
        <v>0</v>
      </c>
      <c r="P362" s="8">
        <f t="shared" si="83"/>
        <v>2140.9857264462812</v>
      </c>
      <c r="Q362" s="36">
        <f>(M362/1.21-P362)/(M362/1.21)</f>
        <v>7.5006609511583722E-2</v>
      </c>
    </row>
    <row r="363" spans="2:17" ht="15.6" customHeight="1" thickBot="1" x14ac:dyDescent="0.3">
      <c r="B363" s="105"/>
      <c r="C363" s="34">
        <v>340</v>
      </c>
      <c r="D363" s="32">
        <v>22.31</v>
      </c>
      <c r="E363" s="2">
        <v>1.32</v>
      </c>
      <c r="F363" s="2">
        <v>5.35</v>
      </c>
      <c r="G363" s="2">
        <v>1.23</v>
      </c>
      <c r="H363" s="2">
        <v>20</v>
      </c>
      <c r="I363" s="2">
        <v>1</v>
      </c>
      <c r="J363" s="2">
        <v>0</v>
      </c>
      <c r="K363" s="6">
        <v>0.18</v>
      </c>
      <c r="L363" s="2">
        <v>49</v>
      </c>
      <c r="M363" s="7">
        <f t="shared" si="81"/>
        <v>3127.0536000000002</v>
      </c>
      <c r="N363" s="8">
        <f t="shared" si="82"/>
        <v>465.18152727272729</v>
      </c>
      <c r="O363" s="9">
        <v>0</v>
      </c>
      <c r="P363" s="8">
        <f t="shared" si="83"/>
        <v>2403.540027272727</v>
      </c>
      <c r="Q363" s="36">
        <f>(M363/1.21-P363)/(M363/1.21)</f>
        <v>6.9960478771454532E-2</v>
      </c>
    </row>
    <row r="365" spans="2:17" ht="15.6" customHeight="1" thickBot="1" x14ac:dyDescent="0.3"/>
    <row r="366" spans="2:17" ht="15.6" customHeight="1" x14ac:dyDescent="0.3">
      <c r="B366" s="103" t="s">
        <v>90</v>
      </c>
      <c r="C366" s="106" t="s">
        <v>16</v>
      </c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9"/>
    </row>
    <row r="367" spans="2:17" ht="15.6" customHeight="1" x14ac:dyDescent="0.25">
      <c r="B367" s="104"/>
      <c r="C367" s="1" t="s">
        <v>1</v>
      </c>
      <c r="D367" s="3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2" t="s">
        <v>8</v>
      </c>
      <c r="K367" s="2" t="s">
        <v>9</v>
      </c>
      <c r="L367" s="2" t="s">
        <v>10</v>
      </c>
      <c r="M367" s="2" t="s">
        <v>11</v>
      </c>
      <c r="N367" s="2" t="s">
        <v>12</v>
      </c>
      <c r="O367" s="2" t="s">
        <v>13</v>
      </c>
      <c r="P367" s="2" t="s">
        <v>14</v>
      </c>
      <c r="Q367" s="3" t="s">
        <v>15</v>
      </c>
    </row>
    <row r="368" spans="2:17" ht="15.6" customHeight="1" x14ac:dyDescent="0.25">
      <c r="B368" s="104"/>
      <c r="C368" s="34">
        <v>15</v>
      </c>
      <c r="D368" s="32">
        <v>31.81</v>
      </c>
      <c r="E368" s="2">
        <v>1.27</v>
      </c>
      <c r="F368" s="2">
        <v>5.35</v>
      </c>
      <c r="G368" s="2">
        <v>1.23</v>
      </c>
      <c r="H368" s="2">
        <v>30</v>
      </c>
      <c r="I368" s="2">
        <v>1</v>
      </c>
      <c r="J368" s="2">
        <v>0</v>
      </c>
      <c r="K368" s="6">
        <v>0.18</v>
      </c>
      <c r="L368" s="2">
        <v>0</v>
      </c>
      <c r="M368" s="7">
        <f>(C368+H368)*E368*F368*G368*I368+J368</f>
        <v>376.07557500000001</v>
      </c>
      <c r="N368" s="8">
        <f>((M368/1.21))*0.18</f>
        <v>55.945126859504136</v>
      </c>
      <c r="O368" s="9">
        <v>0</v>
      </c>
      <c r="P368" s="8">
        <f>(1-O368)*C368*F368+(D368*F368)+N368</f>
        <v>306.3786268595041</v>
      </c>
      <c r="Q368" s="36">
        <f>(M368/1.21-P368)/(M368/1.21)</f>
        <v>1.424563799443789E-2</v>
      </c>
    </row>
    <row r="369" spans="2:17" ht="15.6" customHeight="1" x14ac:dyDescent="0.25">
      <c r="B369" s="104"/>
      <c r="C369" s="34">
        <v>25</v>
      </c>
      <c r="D369" s="32">
        <v>31.81</v>
      </c>
      <c r="E369" s="2">
        <v>1.288</v>
      </c>
      <c r="F369" s="2">
        <v>5.35</v>
      </c>
      <c r="G369" s="2">
        <v>1.23</v>
      </c>
      <c r="H369" s="2">
        <v>30</v>
      </c>
      <c r="I369" s="2">
        <v>1</v>
      </c>
      <c r="J369" s="2">
        <v>0</v>
      </c>
      <c r="K369" s="6">
        <v>0.18</v>
      </c>
      <c r="L369" s="2">
        <v>0</v>
      </c>
      <c r="M369" s="7">
        <f t="shared" ref="M369:M370" si="84">(C369+H369)*E369*F369*G369*I369+J369</f>
        <v>466.16261999999995</v>
      </c>
      <c r="N369" s="8">
        <f t="shared" ref="N369:N372" si="85">((M369/1.21))*0.18</f>
        <v>69.346505454545436</v>
      </c>
      <c r="O369" s="9">
        <v>0</v>
      </c>
      <c r="P369" s="8">
        <f>(1-O369)*C369*F369+(D369*F369)+N369</f>
        <v>373.2800054545454</v>
      </c>
      <c r="Q369" s="36">
        <f>(M369/1.21-P369)/(M369/1.21)</f>
        <v>3.1091753774680604E-2</v>
      </c>
    </row>
    <row r="370" spans="2:17" ht="15.6" customHeight="1" x14ac:dyDescent="0.25">
      <c r="B370" s="104"/>
      <c r="C370" s="34">
        <v>45</v>
      </c>
      <c r="D370" s="32">
        <v>31.81</v>
      </c>
      <c r="E370" s="2">
        <v>1.31</v>
      </c>
      <c r="F370" s="2">
        <v>5.35</v>
      </c>
      <c r="G370" s="2">
        <v>1.23</v>
      </c>
      <c r="H370" s="2">
        <v>30</v>
      </c>
      <c r="I370" s="2">
        <v>1</v>
      </c>
      <c r="J370" s="2">
        <v>0</v>
      </c>
      <c r="K370" s="6">
        <v>0.18</v>
      </c>
      <c r="L370" s="2">
        <v>0</v>
      </c>
      <c r="M370" s="7">
        <f t="shared" si="84"/>
        <v>646.5341249999999</v>
      </c>
      <c r="N370" s="8">
        <f t="shared" si="85"/>
        <v>96.178630165289249</v>
      </c>
      <c r="O370" s="9">
        <v>0</v>
      </c>
      <c r="P370" s="8">
        <f>(1-O370)*C370*F370+(D370*F370)+N370</f>
        <v>507.11213016528922</v>
      </c>
      <c r="Q370" s="36">
        <f>(M370/1.21-P370)/(M370/1.21)</f>
        <v>5.0930718467490019E-2</v>
      </c>
    </row>
    <row r="371" spans="2:17" ht="15.6" customHeight="1" x14ac:dyDescent="0.25">
      <c r="B371" s="104"/>
      <c r="C371" s="34">
        <v>70</v>
      </c>
      <c r="D371" s="32">
        <v>31.81</v>
      </c>
      <c r="E371" s="2">
        <v>1.3149999999999999</v>
      </c>
      <c r="F371" s="2">
        <v>5.35</v>
      </c>
      <c r="G371" s="2">
        <v>1.23</v>
      </c>
      <c r="H371" s="2">
        <v>30</v>
      </c>
      <c r="I371" s="2">
        <v>1</v>
      </c>
      <c r="J371" s="2">
        <v>0</v>
      </c>
      <c r="K371" s="6">
        <v>0.18</v>
      </c>
      <c r="L371" s="2">
        <v>0</v>
      </c>
      <c r="M371" s="7">
        <f>(C371+H371)*E371*F371*G371*I371+J371</f>
        <v>865.33574999999996</v>
      </c>
      <c r="N371" s="8">
        <f t="shared" si="85"/>
        <v>128.72763223140495</v>
      </c>
      <c r="O371" s="9">
        <v>0</v>
      </c>
      <c r="P371" s="8">
        <f>(1-O371)*C371*F371+(D371*F371)+N371</f>
        <v>673.41113223140496</v>
      </c>
      <c r="Q371" s="36">
        <f>(M371/1.21-P371)/(M371/1.21)</f>
        <v>5.8368419425639056E-2</v>
      </c>
    </row>
    <row r="372" spans="2:17" ht="15.6" customHeight="1" x14ac:dyDescent="0.25">
      <c r="B372" s="104"/>
      <c r="C372" s="34">
        <v>70.400000000000006</v>
      </c>
      <c r="D372" s="32">
        <v>31.81</v>
      </c>
      <c r="E372" s="2">
        <v>1.3140000000000001</v>
      </c>
      <c r="F372" s="2">
        <v>5.35</v>
      </c>
      <c r="G372" s="2">
        <v>1.23</v>
      </c>
      <c r="H372" s="2">
        <v>30</v>
      </c>
      <c r="I372" s="2">
        <v>1</v>
      </c>
      <c r="J372" s="2">
        <v>0</v>
      </c>
      <c r="K372" s="6">
        <v>0.18</v>
      </c>
      <c r="L372" s="2">
        <v>0</v>
      </c>
      <c r="M372" s="7">
        <f t="shared" ref="M372" si="86">(C372+H372)*E372*F372*G372*I372+J372</f>
        <v>868.13641080000002</v>
      </c>
      <c r="N372" s="8">
        <f t="shared" si="85"/>
        <v>129.14425945785123</v>
      </c>
      <c r="O372" s="9">
        <v>0</v>
      </c>
      <c r="P372" s="8">
        <f>(1-O372)*C372*F372+(D372*F372)+N372</f>
        <v>675.96775945785123</v>
      </c>
      <c r="Q372" s="36">
        <f>(M372/1.21-P372)/(M372/1.21)</f>
        <v>5.7842778198561963E-2</v>
      </c>
    </row>
    <row r="373" spans="2:17" ht="15.6" customHeight="1" x14ac:dyDescent="0.25">
      <c r="B373" s="104"/>
      <c r="Q373" s="18"/>
    </row>
    <row r="374" spans="2:17" ht="15.6" customHeight="1" x14ac:dyDescent="0.3">
      <c r="B374" s="104"/>
      <c r="C374" s="107" t="s">
        <v>17</v>
      </c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9"/>
    </row>
    <row r="375" spans="2:17" ht="15.6" customHeight="1" x14ac:dyDescent="0.25">
      <c r="B375" s="104"/>
      <c r="C375" s="1" t="s">
        <v>1</v>
      </c>
      <c r="D375" s="32" t="s">
        <v>2</v>
      </c>
      <c r="E375" s="2" t="s">
        <v>3</v>
      </c>
      <c r="F375" s="2" t="s">
        <v>4</v>
      </c>
      <c r="G375" s="2" t="s">
        <v>5</v>
      </c>
      <c r="H375" s="2" t="s">
        <v>6</v>
      </c>
      <c r="I375" s="2" t="s">
        <v>7</v>
      </c>
      <c r="J375" s="2" t="s">
        <v>8</v>
      </c>
      <c r="K375" s="2" t="s">
        <v>9</v>
      </c>
      <c r="L375" s="2" t="s">
        <v>10</v>
      </c>
      <c r="M375" s="2" t="s">
        <v>11</v>
      </c>
      <c r="N375" s="2" t="s">
        <v>12</v>
      </c>
      <c r="O375" s="2" t="s">
        <v>13</v>
      </c>
      <c r="P375" s="2" t="s">
        <v>14</v>
      </c>
      <c r="Q375" s="3" t="s">
        <v>15</v>
      </c>
    </row>
    <row r="376" spans="2:17" ht="15.6" customHeight="1" x14ac:dyDescent="0.25">
      <c r="B376" s="104"/>
      <c r="C376" s="34">
        <v>15</v>
      </c>
      <c r="D376" s="32">
        <v>22.31</v>
      </c>
      <c r="E376" s="2">
        <v>0.94699999999999995</v>
      </c>
      <c r="F376" s="2">
        <v>5.35</v>
      </c>
      <c r="G376" s="2">
        <v>1.23</v>
      </c>
      <c r="H376" s="2">
        <v>20</v>
      </c>
      <c r="I376" s="2">
        <v>1</v>
      </c>
      <c r="J376" s="2">
        <v>0</v>
      </c>
      <c r="K376" s="6">
        <v>0.18</v>
      </c>
      <c r="L376" s="2">
        <v>49</v>
      </c>
      <c r="M376" s="7">
        <f>(C376+H376)*E376*F376*G376*I376+J376</f>
        <v>218.11067249999996</v>
      </c>
      <c r="N376" s="8">
        <f>((M376/1.21))*0.18</f>
        <v>32.446215743801645</v>
      </c>
      <c r="O376" s="9">
        <v>0</v>
      </c>
      <c r="P376" s="8">
        <f>(1-O376)*C376*F376+(D376*F376)+N376</f>
        <v>232.05471574380164</v>
      </c>
      <c r="Q376" s="36">
        <f>(M376/1.21-P376)/(M376/1.21)</f>
        <v>-0.28735656458993319</v>
      </c>
    </row>
    <row r="377" spans="2:17" ht="15.6" customHeight="1" x14ac:dyDescent="0.25">
      <c r="B377" s="104"/>
      <c r="C377" s="34">
        <v>25</v>
      </c>
      <c r="D377" s="32">
        <v>22.31</v>
      </c>
      <c r="E377" s="2">
        <v>1.0409999999999999</v>
      </c>
      <c r="F377" s="2">
        <v>5.35</v>
      </c>
      <c r="G377" s="2">
        <v>1.23</v>
      </c>
      <c r="H377" s="2">
        <v>20</v>
      </c>
      <c r="I377" s="2">
        <v>1</v>
      </c>
      <c r="J377" s="2">
        <v>0</v>
      </c>
      <c r="K377" s="6">
        <v>0.18</v>
      </c>
      <c r="L377" s="2">
        <v>49</v>
      </c>
      <c r="M377" s="7">
        <f t="shared" ref="M377:M380" si="87">(C377+H377)*E377*F377*G377*I377+J377</f>
        <v>308.26352249999997</v>
      </c>
      <c r="N377" s="8">
        <f t="shared" ref="N377:N380" si="88">((M377/1.21))*0.18</f>
        <v>45.857383512396687</v>
      </c>
      <c r="O377" s="9">
        <v>0</v>
      </c>
      <c r="P377" s="8">
        <f t="shared" ref="P377:P380" si="89">(1-O377)*C377*F377+(D377*F377)+N377</f>
        <v>298.96588351239666</v>
      </c>
      <c r="Q377" s="36">
        <f>(M377/1.21-P377)/(M377/1.21)</f>
        <v>-0.17350478615256845</v>
      </c>
    </row>
    <row r="378" spans="2:17" ht="15.6" customHeight="1" x14ac:dyDescent="0.25">
      <c r="B378" s="104"/>
      <c r="C378" s="34">
        <v>45</v>
      </c>
      <c r="D378" s="32">
        <v>22.31</v>
      </c>
      <c r="E378" s="2">
        <v>1.1399999999999999</v>
      </c>
      <c r="F378" s="2">
        <v>5.35</v>
      </c>
      <c r="G378" s="2">
        <v>1.23</v>
      </c>
      <c r="H378" s="2">
        <v>20</v>
      </c>
      <c r="I378" s="2">
        <v>1</v>
      </c>
      <c r="J378" s="2">
        <v>0</v>
      </c>
      <c r="K378" s="6">
        <v>0.18</v>
      </c>
      <c r="L378" s="2">
        <v>49</v>
      </c>
      <c r="M378" s="7">
        <f>(C378+H378)*E378*F378*G378*I378+J378</f>
        <v>487.61504999999994</v>
      </c>
      <c r="N378" s="8">
        <f t="shared" si="88"/>
        <v>72.537776033057838</v>
      </c>
      <c r="O378" s="9">
        <v>0</v>
      </c>
      <c r="P378" s="8">
        <f t="shared" si="89"/>
        <v>432.6462760330578</v>
      </c>
      <c r="Q378" s="36">
        <f>(M378/1.21-P378)/(M378/1.21)</f>
        <v>-7.3596875240007451E-2</v>
      </c>
    </row>
    <row r="379" spans="2:17" ht="15.6" customHeight="1" x14ac:dyDescent="0.25">
      <c r="B379" s="104"/>
      <c r="C379" s="34">
        <v>70</v>
      </c>
      <c r="D379" s="32">
        <v>22.31</v>
      </c>
      <c r="E379" s="2">
        <v>1.2</v>
      </c>
      <c r="F379" s="2">
        <v>5.35</v>
      </c>
      <c r="G379" s="2">
        <v>1.23</v>
      </c>
      <c r="H379" s="2">
        <v>20</v>
      </c>
      <c r="I379" s="2">
        <v>1</v>
      </c>
      <c r="J379" s="2">
        <v>0</v>
      </c>
      <c r="K379" s="6">
        <v>0.18</v>
      </c>
      <c r="L379" s="2">
        <v>49</v>
      </c>
      <c r="M379" s="7">
        <f t="shared" si="87"/>
        <v>710.69399999999996</v>
      </c>
      <c r="N379" s="8">
        <f t="shared" si="88"/>
        <v>105.72307438016527</v>
      </c>
      <c r="O379" s="9">
        <v>0</v>
      </c>
      <c r="P379" s="8">
        <f t="shared" si="89"/>
        <v>599.58157438016531</v>
      </c>
      <c r="Q379" s="36">
        <f>(M379/1.21-P379)/(M379/1.21)</f>
        <v>-2.0824299909665899E-2</v>
      </c>
    </row>
    <row r="380" spans="2:17" ht="15.6" customHeight="1" thickBot="1" x14ac:dyDescent="0.3">
      <c r="B380" s="105"/>
      <c r="C380" s="34">
        <v>70.400000000000006</v>
      </c>
      <c r="D380" s="32">
        <v>22.31</v>
      </c>
      <c r="E380" s="2">
        <v>1.1970000000000001</v>
      </c>
      <c r="F380" s="2">
        <v>5.35</v>
      </c>
      <c r="G380" s="2">
        <v>1.23</v>
      </c>
      <c r="H380" s="2">
        <v>20</v>
      </c>
      <c r="I380" s="2">
        <v>1</v>
      </c>
      <c r="J380" s="2">
        <v>0</v>
      </c>
      <c r="K380" s="6">
        <v>0.18</v>
      </c>
      <c r="L380" s="2">
        <v>49</v>
      </c>
      <c r="M380" s="7">
        <f t="shared" si="87"/>
        <v>712.06800840000005</v>
      </c>
      <c r="N380" s="8">
        <f t="shared" si="88"/>
        <v>105.92747232396695</v>
      </c>
      <c r="O380" s="9">
        <v>0</v>
      </c>
      <c r="P380" s="8">
        <f t="shared" si="89"/>
        <v>601.9259723239669</v>
      </c>
      <c r="Q380" s="36">
        <f>(M380/1.21-P380)/(M380/1.21)</f>
        <v>-2.2838293421636988E-2</v>
      </c>
    </row>
    <row r="381" spans="2:17" ht="15.6" customHeight="1" thickBot="1" x14ac:dyDescent="0.3"/>
    <row r="382" spans="2:17" ht="15.6" customHeight="1" x14ac:dyDescent="0.3">
      <c r="B382" s="103" t="s">
        <v>91</v>
      </c>
      <c r="C382" s="106" t="s">
        <v>16</v>
      </c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9"/>
    </row>
    <row r="383" spans="2:17" ht="15.6" customHeight="1" x14ac:dyDescent="0.25">
      <c r="B383" s="104"/>
      <c r="C383" s="1" t="s">
        <v>1</v>
      </c>
      <c r="D383" s="32" t="s">
        <v>2</v>
      </c>
      <c r="E383" s="2" t="s">
        <v>3</v>
      </c>
      <c r="F383" s="2" t="s">
        <v>4</v>
      </c>
      <c r="G383" s="2" t="s">
        <v>5</v>
      </c>
      <c r="H383" s="2" t="s">
        <v>6</v>
      </c>
      <c r="I383" s="2" t="s">
        <v>7</v>
      </c>
      <c r="J383" s="2" t="s">
        <v>8</v>
      </c>
      <c r="K383" s="2" t="s">
        <v>9</v>
      </c>
      <c r="L383" s="2" t="s">
        <v>10</v>
      </c>
      <c r="M383" s="2" t="s">
        <v>11</v>
      </c>
      <c r="N383" s="2" t="s">
        <v>12</v>
      </c>
      <c r="O383" s="2" t="s">
        <v>13</v>
      </c>
      <c r="P383" s="2" t="s">
        <v>14</v>
      </c>
      <c r="Q383" s="3" t="s">
        <v>15</v>
      </c>
    </row>
    <row r="384" spans="2:17" ht="15.6" customHeight="1" x14ac:dyDescent="0.25">
      <c r="B384" s="104"/>
      <c r="C384" s="34">
        <v>30</v>
      </c>
      <c r="D384" s="32">
        <v>31.81</v>
      </c>
      <c r="E384" s="2">
        <v>1.3</v>
      </c>
      <c r="F384" s="2">
        <v>5.35</v>
      </c>
      <c r="G384" s="2">
        <v>1.23</v>
      </c>
      <c r="H384" s="2">
        <v>30</v>
      </c>
      <c r="I384" s="2">
        <v>1</v>
      </c>
      <c r="J384" s="2">
        <v>0</v>
      </c>
      <c r="K384" s="6">
        <v>0.18</v>
      </c>
      <c r="L384" s="2">
        <v>0</v>
      </c>
      <c r="M384" s="7">
        <f>(C384+H384)*E384*F384*G384*I384+J384</f>
        <v>513.27899999999988</v>
      </c>
      <c r="N384" s="8">
        <f>((M384/1.21))*0.18</f>
        <v>76.355553719008242</v>
      </c>
      <c r="O384" s="9">
        <v>0</v>
      </c>
      <c r="P384" s="8">
        <f>(1-O384)*C384*F384+(D384*F384)+N384</f>
        <v>407.03905371900822</v>
      </c>
      <c r="Q384" s="36">
        <f>(M384/1.21-P384)/(M384/1.21)</f>
        <v>4.0449239107775606E-2</v>
      </c>
    </row>
    <row r="385" spans="2:17" ht="15.6" customHeight="1" x14ac:dyDescent="0.25">
      <c r="B385" s="104"/>
      <c r="C385" s="34">
        <v>60</v>
      </c>
      <c r="D385" s="32">
        <v>31.81</v>
      </c>
      <c r="E385" s="2">
        <v>1.325</v>
      </c>
      <c r="F385" s="2">
        <v>5.35</v>
      </c>
      <c r="G385" s="2">
        <v>1.23</v>
      </c>
      <c r="H385" s="2">
        <v>30</v>
      </c>
      <c r="I385" s="2">
        <v>1</v>
      </c>
      <c r="J385" s="2">
        <v>0</v>
      </c>
      <c r="K385" s="6">
        <v>0.18</v>
      </c>
      <c r="L385" s="2">
        <v>0</v>
      </c>
      <c r="M385" s="7">
        <f t="shared" ref="M385:M386" si="90">(C385+H385)*E385*F385*G385*I385+J385</f>
        <v>784.72462499999995</v>
      </c>
      <c r="N385" s="8">
        <f t="shared" ref="N385:N388" si="91">((M385/1.21))*0.18</f>
        <v>116.73589462809916</v>
      </c>
      <c r="O385" s="9">
        <v>0</v>
      </c>
      <c r="P385" s="8">
        <f>(1-O385)*C385*F385+(D385*F385)+N385</f>
        <v>607.9193946280991</v>
      </c>
      <c r="Q385" s="36">
        <f>(M385/1.21-P385)/(M385/1.21)</f>
        <v>6.2623442586627179E-2</v>
      </c>
    </row>
    <row r="386" spans="2:17" ht="15.6" customHeight="1" x14ac:dyDescent="0.25">
      <c r="B386" s="104"/>
      <c r="C386" s="34">
        <v>120</v>
      </c>
      <c r="D386" s="32">
        <v>31.81</v>
      </c>
      <c r="E386" s="2">
        <v>1.345</v>
      </c>
      <c r="F386" s="2">
        <v>5.35</v>
      </c>
      <c r="G386" s="2">
        <v>1.23</v>
      </c>
      <c r="H386" s="2">
        <v>30</v>
      </c>
      <c r="I386" s="2">
        <v>1</v>
      </c>
      <c r="J386" s="2">
        <v>0</v>
      </c>
      <c r="K386" s="6">
        <v>0.18</v>
      </c>
      <c r="L386" s="2">
        <v>0</v>
      </c>
      <c r="M386" s="7">
        <f t="shared" si="90"/>
        <v>1327.615875</v>
      </c>
      <c r="N386" s="8">
        <f t="shared" si="91"/>
        <v>197.49657644628098</v>
      </c>
      <c r="O386" s="9">
        <v>0</v>
      </c>
      <c r="P386" s="8">
        <f>(1-O386)*C386*F386+(D386*F386)+N386</f>
        <v>1009.680076446281</v>
      </c>
      <c r="Q386" s="36">
        <f>(M386/1.21-P386)/(M386/1.21)</f>
        <v>7.9769295090720477E-2</v>
      </c>
    </row>
    <row r="387" spans="2:17" ht="15.6" customHeight="1" x14ac:dyDescent="0.25">
      <c r="B387" s="104"/>
      <c r="C387" s="34">
        <v>350</v>
      </c>
      <c r="D387" s="32">
        <v>31.81</v>
      </c>
      <c r="E387" s="2">
        <v>1.36</v>
      </c>
      <c r="F387" s="2">
        <v>5.35</v>
      </c>
      <c r="G387" s="2">
        <v>1.23</v>
      </c>
      <c r="H387" s="2">
        <v>30</v>
      </c>
      <c r="I387" s="2">
        <v>1</v>
      </c>
      <c r="J387" s="2">
        <v>0</v>
      </c>
      <c r="K387" s="6">
        <v>0.18</v>
      </c>
      <c r="L387" s="2">
        <v>0</v>
      </c>
      <c r="M387" s="7">
        <f>(C387+H387)*E387*F387*G387*I387+J387</f>
        <v>3400.8024</v>
      </c>
      <c r="N387" s="8">
        <f t="shared" si="91"/>
        <v>505.9044892561983</v>
      </c>
      <c r="O387" s="9">
        <v>0</v>
      </c>
      <c r="P387" s="8">
        <f>(1-O387)*C387*F387+(D387*F387)+N387</f>
        <v>2548.5879892561979</v>
      </c>
      <c r="Q387" s="36">
        <f>(M387/1.21-P387)/(M387/1.21)</f>
        <v>9.3216510609378689E-2</v>
      </c>
    </row>
    <row r="388" spans="2:17" ht="15.6" customHeight="1" x14ac:dyDescent="0.25">
      <c r="B388" s="104"/>
      <c r="C388" s="34">
        <v>500</v>
      </c>
      <c r="D388" s="32">
        <v>31.81</v>
      </c>
      <c r="E388" s="2">
        <v>1.36</v>
      </c>
      <c r="F388" s="2">
        <v>5.35</v>
      </c>
      <c r="G388" s="2">
        <v>1.23</v>
      </c>
      <c r="H388" s="2">
        <v>30</v>
      </c>
      <c r="I388" s="2">
        <v>1</v>
      </c>
      <c r="J388" s="2">
        <v>0</v>
      </c>
      <c r="K388" s="6">
        <v>0.18</v>
      </c>
      <c r="L388" s="2">
        <v>0</v>
      </c>
      <c r="M388" s="7">
        <f t="shared" ref="M388" si="92">(C388+H388)*E388*F388*G388*I388+J388</f>
        <v>4743.2244000000001</v>
      </c>
      <c r="N388" s="8">
        <f t="shared" si="91"/>
        <v>705.60362975206613</v>
      </c>
      <c r="O388" s="9">
        <v>0</v>
      </c>
      <c r="P388" s="8">
        <f>(1-O388)*C388*F388+(D388*F388)+N388</f>
        <v>3550.787129752066</v>
      </c>
      <c r="Q388" s="36">
        <f>(M388/1.21-P388)/(M388/1.21)</f>
        <v>9.4191616361224764E-2</v>
      </c>
    </row>
    <row r="389" spans="2:17" ht="15.6" customHeight="1" x14ac:dyDescent="0.25">
      <c r="B389" s="104"/>
      <c r="Q389" s="18"/>
    </row>
    <row r="390" spans="2:17" ht="15.6" customHeight="1" x14ac:dyDescent="0.3">
      <c r="B390" s="104"/>
      <c r="C390" s="107" t="s">
        <v>17</v>
      </c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9"/>
    </row>
    <row r="391" spans="2:17" ht="15.6" customHeight="1" x14ac:dyDescent="0.25">
      <c r="B391" s="104"/>
      <c r="C391" s="1" t="s">
        <v>1</v>
      </c>
      <c r="D391" s="3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2" t="s">
        <v>8</v>
      </c>
      <c r="K391" s="2" t="s">
        <v>9</v>
      </c>
      <c r="L391" s="2" t="s">
        <v>10</v>
      </c>
      <c r="M391" s="2" t="s">
        <v>11</v>
      </c>
      <c r="N391" s="2" t="s">
        <v>12</v>
      </c>
      <c r="O391" s="2" t="s">
        <v>13</v>
      </c>
      <c r="P391" s="2" t="s">
        <v>14</v>
      </c>
      <c r="Q391" s="3" t="s">
        <v>15</v>
      </c>
    </row>
    <row r="392" spans="2:17" ht="15.6" customHeight="1" x14ac:dyDescent="0.25">
      <c r="B392" s="104"/>
      <c r="C392" s="34">
        <v>30</v>
      </c>
      <c r="D392" s="32">
        <v>22.31</v>
      </c>
      <c r="E392" s="2">
        <v>1.08</v>
      </c>
      <c r="F392" s="2">
        <v>5.35</v>
      </c>
      <c r="G392" s="2">
        <v>1.23</v>
      </c>
      <c r="H392" s="2">
        <v>20</v>
      </c>
      <c r="I392" s="2">
        <v>1</v>
      </c>
      <c r="J392" s="2">
        <v>0</v>
      </c>
      <c r="K392" s="6">
        <v>0.18</v>
      </c>
      <c r="L392" s="2">
        <v>49</v>
      </c>
      <c r="M392" s="7">
        <f>(C392+H392)*E392*F392*G392*I392+J392</f>
        <v>355.34699999999998</v>
      </c>
      <c r="N392" s="8">
        <f>((M392/1.21))*0.18</f>
        <v>52.861537190082636</v>
      </c>
      <c r="O392" s="9">
        <v>0</v>
      </c>
      <c r="P392" s="8">
        <f>(1-O392)*C392*F392+(D392*F392)+N392</f>
        <v>332.72003719008262</v>
      </c>
      <c r="Q392" s="36">
        <f>(M392/1.21-P392)/(M392/1.21)</f>
        <v>-0.13295242396868417</v>
      </c>
    </row>
    <row r="393" spans="2:17" ht="15.6" customHeight="1" x14ac:dyDescent="0.25">
      <c r="B393" s="104"/>
      <c r="C393" s="34">
        <v>60</v>
      </c>
      <c r="D393" s="32">
        <v>22.31</v>
      </c>
      <c r="E393" s="2">
        <v>1.1919999999999999</v>
      </c>
      <c r="F393" s="2">
        <v>5.35</v>
      </c>
      <c r="G393" s="2">
        <v>1.23</v>
      </c>
      <c r="H393" s="2">
        <v>20</v>
      </c>
      <c r="I393" s="2">
        <v>1</v>
      </c>
      <c r="J393" s="2">
        <v>0</v>
      </c>
      <c r="K393" s="6">
        <v>0.18</v>
      </c>
      <c r="L393" s="2">
        <v>49</v>
      </c>
      <c r="M393" s="7">
        <f t="shared" ref="M393:M396" si="93">(C393+H393)*E393*F393*G393*I393+J393</f>
        <v>627.51648</v>
      </c>
      <c r="N393" s="8">
        <f t="shared" ref="N393:N396" si="94">((M393/1.21))*0.18</f>
        <v>93.349559008264464</v>
      </c>
      <c r="O393" s="9">
        <v>0</v>
      </c>
      <c r="P393" s="8">
        <f t="shared" ref="P393:P396" si="95">(1-O393)*C393*F393+(D393*F393)+N393</f>
        <v>533.7080590082644</v>
      </c>
      <c r="Q393" s="36">
        <f>(M393/1.21-P393)/(M393/1.21)</f>
        <v>-2.9115205707426043E-2</v>
      </c>
    </row>
    <row r="394" spans="2:17" ht="15.6" customHeight="1" x14ac:dyDescent="0.25">
      <c r="B394" s="104"/>
      <c r="C394" s="34">
        <v>120</v>
      </c>
      <c r="D394" s="32">
        <v>22.31</v>
      </c>
      <c r="E394" s="2">
        <v>1.27</v>
      </c>
      <c r="F394" s="2">
        <v>5.35</v>
      </c>
      <c r="G394" s="2">
        <v>1.23</v>
      </c>
      <c r="H394" s="2">
        <v>20</v>
      </c>
      <c r="I394" s="2">
        <v>1</v>
      </c>
      <c r="J394" s="2">
        <v>0</v>
      </c>
      <c r="K394" s="6">
        <v>0.18</v>
      </c>
      <c r="L394" s="2">
        <v>49</v>
      </c>
      <c r="M394" s="7">
        <f t="shared" si="93"/>
        <v>1170.0128999999999</v>
      </c>
      <c r="N394" s="8">
        <f t="shared" si="94"/>
        <v>174.05150578512396</v>
      </c>
      <c r="O394" s="9">
        <v>0</v>
      </c>
      <c r="P394" s="8">
        <f t="shared" si="95"/>
        <v>935.41000578512399</v>
      </c>
      <c r="Q394" s="36">
        <f>(M394/1.21-P394)/(M394/1.21)</f>
        <v>3.2620830932718739E-2</v>
      </c>
    </row>
    <row r="395" spans="2:17" ht="15.6" customHeight="1" x14ac:dyDescent="0.25">
      <c r="B395" s="104"/>
      <c r="C395" s="34">
        <v>350</v>
      </c>
      <c r="D395" s="32">
        <v>22.31</v>
      </c>
      <c r="E395" s="2">
        <v>1.3340000000000001</v>
      </c>
      <c r="F395" s="2">
        <v>5.35</v>
      </c>
      <c r="G395" s="2">
        <v>1.23</v>
      </c>
      <c r="H395" s="2">
        <v>20</v>
      </c>
      <c r="I395" s="2">
        <v>1</v>
      </c>
      <c r="J395" s="2">
        <v>0</v>
      </c>
      <c r="K395" s="6">
        <v>0.18</v>
      </c>
      <c r="L395" s="2">
        <v>49</v>
      </c>
      <c r="M395" s="7">
        <f t="shared" si="93"/>
        <v>3248.0031900000004</v>
      </c>
      <c r="N395" s="8">
        <f t="shared" si="94"/>
        <v>483.17402826446289</v>
      </c>
      <c r="O395" s="9">
        <v>0</v>
      </c>
      <c r="P395" s="8">
        <f t="shared" si="95"/>
        <v>2475.0325282644626</v>
      </c>
      <c r="Q395" s="36">
        <f>(M395/1.21-P395)/(M395/1.21)</f>
        <v>7.7959846708155728E-2</v>
      </c>
    </row>
    <row r="396" spans="2:17" ht="15.6" customHeight="1" thickBot="1" x14ac:dyDescent="0.3">
      <c r="B396" s="105"/>
      <c r="C396" s="34">
        <v>500</v>
      </c>
      <c r="D396" s="32">
        <v>22.31</v>
      </c>
      <c r="E396" s="2">
        <v>1.34</v>
      </c>
      <c r="F396" s="2">
        <v>5.35</v>
      </c>
      <c r="G396" s="2">
        <v>1.23</v>
      </c>
      <c r="H396" s="2">
        <v>20</v>
      </c>
      <c r="I396" s="2">
        <v>1</v>
      </c>
      <c r="J396" s="2">
        <v>0</v>
      </c>
      <c r="K396" s="6">
        <v>0.18</v>
      </c>
      <c r="L396" s="2">
        <v>49</v>
      </c>
      <c r="M396" s="7">
        <f t="shared" si="93"/>
        <v>4585.2924000000003</v>
      </c>
      <c r="N396" s="8">
        <f t="shared" si="94"/>
        <v>682.10961322314051</v>
      </c>
      <c r="O396" s="9">
        <v>0</v>
      </c>
      <c r="P396" s="8">
        <f t="shared" si="95"/>
        <v>3476.4681132231403</v>
      </c>
      <c r="Q396" s="36">
        <f>(M396/1.21-P396)/(M396/1.21)</f>
        <v>8.2604542951284957E-2</v>
      </c>
    </row>
    <row r="397" spans="2:17" ht="15.6" customHeight="1" thickBot="1" x14ac:dyDescent="0.3"/>
    <row r="398" spans="2:17" ht="15.6" hidden="1" customHeight="1" x14ac:dyDescent="0.3">
      <c r="B398" s="103" t="s">
        <v>92</v>
      </c>
      <c r="C398" s="106" t="s">
        <v>16</v>
      </c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9"/>
    </row>
    <row r="399" spans="2:17" ht="15.6" hidden="1" customHeight="1" x14ac:dyDescent="0.25">
      <c r="B399" s="104"/>
      <c r="C399" s="1" t="s">
        <v>1</v>
      </c>
      <c r="D399" s="32" t="s">
        <v>2</v>
      </c>
      <c r="E399" s="2" t="s">
        <v>3</v>
      </c>
      <c r="F399" s="2" t="s">
        <v>4</v>
      </c>
      <c r="G399" s="2" t="s">
        <v>5</v>
      </c>
      <c r="H399" s="2" t="s">
        <v>6</v>
      </c>
      <c r="I399" s="2" t="s">
        <v>7</v>
      </c>
      <c r="J399" s="2" t="s">
        <v>8</v>
      </c>
      <c r="K399" s="2" t="s">
        <v>9</v>
      </c>
      <c r="L399" s="2" t="s">
        <v>10</v>
      </c>
      <c r="M399" s="2" t="s">
        <v>11</v>
      </c>
      <c r="N399" s="2" t="s">
        <v>12</v>
      </c>
      <c r="O399" s="2" t="s">
        <v>13</v>
      </c>
      <c r="P399" s="2" t="s">
        <v>14</v>
      </c>
      <c r="Q399" s="3" t="s">
        <v>15</v>
      </c>
    </row>
    <row r="400" spans="2:17" ht="15.6" hidden="1" customHeight="1" x14ac:dyDescent="0.25">
      <c r="B400" s="104"/>
      <c r="C400" s="34">
        <v>30</v>
      </c>
      <c r="D400" s="32">
        <v>53.33</v>
      </c>
      <c r="E400" s="2">
        <v>1.3</v>
      </c>
      <c r="F400" s="2">
        <v>5.35</v>
      </c>
      <c r="G400" s="2">
        <v>1.23</v>
      </c>
      <c r="H400" s="2">
        <v>30</v>
      </c>
      <c r="I400" s="2">
        <v>1</v>
      </c>
      <c r="J400" s="2">
        <v>0</v>
      </c>
      <c r="K400" s="6">
        <v>0.18</v>
      </c>
      <c r="L400" s="2">
        <v>0</v>
      </c>
      <c r="M400" s="7">
        <f>(C400+H400)*E400*F400*G400*I400+J400+L400</f>
        <v>513.27899999999988</v>
      </c>
      <c r="N400" s="8">
        <f>((M400/1.21)-L400)*0.18</f>
        <v>76.355553719008242</v>
      </c>
      <c r="O400" s="9">
        <v>0</v>
      </c>
      <c r="P400" s="8">
        <f>(1-O400)*C400*F400+(D400*F400)+N400</f>
        <v>522.17105371900823</v>
      </c>
      <c r="Q400" s="36">
        <f>(M400/1.21-P400)/(M400/1.21)</f>
        <v>-0.23096205962059635</v>
      </c>
    </row>
    <row r="401" spans="2:17" ht="15.6" hidden="1" customHeight="1" x14ac:dyDescent="0.25">
      <c r="B401" s="104"/>
      <c r="C401" s="34">
        <v>60</v>
      </c>
      <c r="D401" s="32">
        <v>53.33</v>
      </c>
      <c r="E401" s="2">
        <v>1.325</v>
      </c>
      <c r="F401" s="2">
        <v>5.35</v>
      </c>
      <c r="G401" s="2">
        <v>1.23</v>
      </c>
      <c r="H401" s="2">
        <v>30</v>
      </c>
      <c r="I401" s="2">
        <v>1</v>
      </c>
      <c r="J401" s="2">
        <v>0</v>
      </c>
      <c r="K401" s="6">
        <v>0.18</v>
      </c>
      <c r="L401" s="2">
        <v>0</v>
      </c>
      <c r="M401" s="7">
        <f>(C401+H401)*E401*F401*G401*I401+J401+L401</f>
        <v>784.72462499999995</v>
      </c>
      <c r="N401" s="8">
        <f>((M401/1.21)-L401)*0.18</f>
        <v>116.73589462809916</v>
      </c>
      <c r="O401" s="9">
        <v>0</v>
      </c>
      <c r="P401" s="8">
        <f>(1-O401)*C401*F401+(D401*F401)+N401</f>
        <v>723.05139462809905</v>
      </c>
      <c r="Q401" s="36">
        <f>(M401/1.21-P401)/(M401/1.21)</f>
        <v>-0.11490344463193047</v>
      </c>
    </row>
    <row r="402" spans="2:17" ht="15.6" hidden="1" customHeight="1" x14ac:dyDescent="0.25">
      <c r="B402" s="104"/>
      <c r="C402" s="34">
        <v>120</v>
      </c>
      <c r="D402" s="32">
        <v>53.33</v>
      </c>
      <c r="E402" s="2">
        <v>1.345</v>
      </c>
      <c r="F402" s="2">
        <v>5.35</v>
      </c>
      <c r="G402" s="2">
        <v>1.23</v>
      </c>
      <c r="H402" s="2">
        <v>30</v>
      </c>
      <c r="I402" s="2">
        <v>1</v>
      </c>
      <c r="J402" s="2">
        <v>0</v>
      </c>
      <c r="K402" s="6">
        <v>0.18</v>
      </c>
      <c r="L402" s="2">
        <v>0</v>
      </c>
      <c r="M402" s="7">
        <f>(C402+H402)*E402*F402*G402*I402+J402+L402</f>
        <v>1327.615875</v>
      </c>
      <c r="N402" s="8">
        <f>((M402/1.21)-L402)*0.18</f>
        <v>197.49657644628098</v>
      </c>
      <c r="O402" s="9">
        <v>0</v>
      </c>
      <c r="P402" s="8">
        <f>(1-O402)*C402*F402+(D402*F402)+N402</f>
        <v>1124.812076446281</v>
      </c>
      <c r="Q402" s="36">
        <f>(M402/1.21-P402)/(M402/1.21)</f>
        <v>-2.5162954231772807E-2</v>
      </c>
    </row>
    <row r="403" spans="2:17" ht="15.6" hidden="1" customHeight="1" x14ac:dyDescent="0.25">
      <c r="B403" s="104"/>
      <c r="C403" s="34">
        <v>350</v>
      </c>
      <c r="D403" s="32">
        <v>53.33</v>
      </c>
      <c r="E403" s="2">
        <v>1.36</v>
      </c>
      <c r="F403" s="2">
        <v>5.35</v>
      </c>
      <c r="G403" s="2">
        <v>1.23</v>
      </c>
      <c r="H403" s="2">
        <v>30</v>
      </c>
      <c r="I403" s="2">
        <v>1</v>
      </c>
      <c r="J403" s="2">
        <v>0</v>
      </c>
      <c r="K403" s="6">
        <v>0.18</v>
      </c>
      <c r="L403" s="2">
        <v>0</v>
      </c>
      <c r="M403" s="7">
        <f>(C403+H403)*E403*F403*G403*I403+J403+L403</f>
        <v>3400.8024</v>
      </c>
      <c r="N403" s="8">
        <f>((M403/1.21)-L403)*0.18</f>
        <v>505.9044892561983</v>
      </c>
      <c r="O403" s="9">
        <v>0</v>
      </c>
      <c r="P403" s="8">
        <f>(1-O403)*C403*F403+(D403*F403)+N403</f>
        <v>2663.719989256198</v>
      </c>
      <c r="Q403" s="36">
        <f>(M403/1.21-P403)/(M403/1.21)</f>
        <v>5.2252731002542352E-2</v>
      </c>
    </row>
    <row r="404" spans="2:17" ht="15.6" hidden="1" customHeight="1" x14ac:dyDescent="0.25">
      <c r="B404" s="104"/>
      <c r="C404" s="34">
        <v>500</v>
      </c>
      <c r="D404" s="32">
        <v>53.33</v>
      </c>
      <c r="E404" s="2">
        <v>1.36</v>
      </c>
      <c r="F404" s="2">
        <v>5.35</v>
      </c>
      <c r="G404" s="2">
        <v>1.23</v>
      </c>
      <c r="H404" s="2">
        <v>30</v>
      </c>
      <c r="I404" s="2">
        <v>1</v>
      </c>
      <c r="J404" s="2">
        <v>0</v>
      </c>
      <c r="K404" s="6">
        <v>0.18</v>
      </c>
      <c r="L404" s="2">
        <v>0</v>
      </c>
      <c r="M404" s="7">
        <f>(C404+H404)*E404*F404*G404*I404+J404+L404</f>
        <v>4743.2244000000001</v>
      </c>
      <c r="N404" s="8">
        <f>((M404/1.21)-L404)*0.18</f>
        <v>705.60362975206613</v>
      </c>
      <c r="O404" s="9">
        <v>0</v>
      </c>
      <c r="P404" s="8">
        <f>(1-O404)*C404*F404+(D404*F404)+N404</f>
        <v>3665.9191297520665</v>
      </c>
      <c r="Q404" s="36">
        <f>(M404/1.21-P404)/(M404/1.21)</f>
        <v>6.4821359284625013E-2</v>
      </c>
    </row>
    <row r="405" spans="2:17" ht="15.6" hidden="1" customHeight="1" x14ac:dyDescent="0.25">
      <c r="B405" s="104"/>
      <c r="Q405" s="18"/>
    </row>
    <row r="406" spans="2:17" ht="15.6" hidden="1" customHeight="1" x14ac:dyDescent="0.3">
      <c r="B406" s="104"/>
      <c r="C406" s="107" t="s">
        <v>17</v>
      </c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9"/>
    </row>
    <row r="407" spans="2:17" ht="15.6" hidden="1" customHeight="1" x14ac:dyDescent="0.25">
      <c r="B407" s="104"/>
      <c r="C407" s="1" t="s">
        <v>1</v>
      </c>
      <c r="D407" s="32" t="s">
        <v>2</v>
      </c>
      <c r="E407" s="2" t="s">
        <v>3</v>
      </c>
      <c r="F407" s="2" t="s">
        <v>4</v>
      </c>
      <c r="G407" s="2" t="s">
        <v>5</v>
      </c>
      <c r="H407" s="2" t="s">
        <v>6</v>
      </c>
      <c r="I407" s="2" t="s">
        <v>7</v>
      </c>
      <c r="J407" s="2" t="s">
        <v>8</v>
      </c>
      <c r="K407" s="2" t="s">
        <v>9</v>
      </c>
      <c r="L407" s="2" t="s">
        <v>10</v>
      </c>
      <c r="M407" s="2" t="s">
        <v>11</v>
      </c>
      <c r="N407" s="2" t="s">
        <v>12</v>
      </c>
      <c r="O407" s="2" t="s">
        <v>13</v>
      </c>
      <c r="P407" s="2" t="s">
        <v>14</v>
      </c>
      <c r="Q407" s="3" t="s">
        <v>15</v>
      </c>
    </row>
    <row r="408" spans="2:17" ht="15.6" hidden="1" customHeight="1" x14ac:dyDescent="0.25">
      <c r="B408" s="104"/>
      <c r="C408" s="34">
        <v>30</v>
      </c>
      <c r="D408" s="32">
        <v>53.33</v>
      </c>
      <c r="E408" s="2">
        <v>1.08</v>
      </c>
      <c r="F408" s="2">
        <v>5.35</v>
      </c>
      <c r="G408" s="2">
        <v>1.23</v>
      </c>
      <c r="H408" s="2">
        <v>20</v>
      </c>
      <c r="I408" s="2">
        <v>1</v>
      </c>
      <c r="J408" s="2">
        <v>0</v>
      </c>
      <c r="K408" s="6">
        <v>0.18</v>
      </c>
      <c r="L408" s="2">
        <v>80</v>
      </c>
      <c r="M408" s="7">
        <f>(C408+H408)*E408*F408*G408*I408+J408+L408</f>
        <v>435.34699999999998</v>
      </c>
      <c r="N408" s="8">
        <f>((M408/1.21)-L408)*0.18</f>
        <v>50.362363636363639</v>
      </c>
      <c r="O408" s="9">
        <v>0</v>
      </c>
      <c r="P408" s="8">
        <f>(1-O408)*C408*F408+(D408*F408)+N408</f>
        <v>496.17786363636361</v>
      </c>
      <c r="Q408" s="36">
        <f>(M408/1.21-P408)/(M408/1.21)</f>
        <v>-0.37907282007226406</v>
      </c>
    </row>
    <row r="409" spans="2:17" ht="15.6" hidden="1" customHeight="1" x14ac:dyDescent="0.25">
      <c r="B409" s="104"/>
      <c r="C409" s="34">
        <v>60</v>
      </c>
      <c r="D409" s="32">
        <v>53.33</v>
      </c>
      <c r="E409" s="2">
        <v>1.1919999999999999</v>
      </c>
      <c r="F409" s="2">
        <v>5.35</v>
      </c>
      <c r="G409" s="2">
        <v>1.23</v>
      </c>
      <c r="H409" s="2">
        <v>20</v>
      </c>
      <c r="I409" s="2">
        <v>1</v>
      </c>
      <c r="J409" s="2">
        <v>0</v>
      </c>
      <c r="K409" s="6">
        <v>0.18</v>
      </c>
      <c r="L409" s="2">
        <v>110</v>
      </c>
      <c r="M409" s="7">
        <f>(C409+H409)*E409*F409*G409*I409+J409+L409</f>
        <v>737.51648</v>
      </c>
      <c r="N409" s="8">
        <f>((M409/1.21)-L409)*0.18</f>
        <v>89.913195371900827</v>
      </c>
      <c r="O409" s="9">
        <v>0</v>
      </c>
      <c r="P409" s="8">
        <f t="shared" ref="P409:P412" si="96">(1-O409)*C409*F409+(D409*F409)+N409</f>
        <v>696.22869537190081</v>
      </c>
      <c r="Q409" s="36">
        <f>(M409/1.21-P409)/(M409/1.21)</f>
        <v>-0.14226155515874031</v>
      </c>
    </row>
    <row r="410" spans="2:17" ht="15.6" hidden="1" customHeight="1" x14ac:dyDescent="0.25">
      <c r="B410" s="104"/>
      <c r="C410" s="34">
        <v>120</v>
      </c>
      <c r="D410" s="32">
        <v>53.33</v>
      </c>
      <c r="E410" s="2">
        <v>1.27</v>
      </c>
      <c r="F410" s="2">
        <v>5.35</v>
      </c>
      <c r="G410" s="2">
        <v>1.23</v>
      </c>
      <c r="H410" s="2">
        <v>20</v>
      </c>
      <c r="I410" s="2">
        <v>1</v>
      </c>
      <c r="J410" s="2">
        <v>0</v>
      </c>
      <c r="K410" s="6">
        <v>0.18</v>
      </c>
      <c r="L410" s="2">
        <v>210</v>
      </c>
      <c r="M410" s="7">
        <f>(C410+H410)*E410*F410*G410*I410+J410+L410</f>
        <v>1380.0128999999999</v>
      </c>
      <c r="N410" s="8">
        <f>((M410/1.21)-L410)*0.18</f>
        <v>167.49117520661159</v>
      </c>
      <c r="O410" s="9">
        <v>0</v>
      </c>
      <c r="P410" s="8">
        <f t="shared" si="96"/>
        <v>1094.8066752066115</v>
      </c>
      <c r="Q410" s="36">
        <f>(M410/1.21-P410)/(M410/1.21)</f>
        <v>4.0069787028802518E-2</v>
      </c>
    </row>
    <row r="411" spans="2:17" ht="15.6" hidden="1" customHeight="1" x14ac:dyDescent="0.25">
      <c r="B411" s="104"/>
      <c r="C411" s="34">
        <v>350</v>
      </c>
      <c r="D411" s="32">
        <v>53.33</v>
      </c>
      <c r="E411" s="2">
        <v>1.3340000000000001</v>
      </c>
      <c r="F411" s="2">
        <v>5.35</v>
      </c>
      <c r="G411" s="2">
        <v>1.23</v>
      </c>
      <c r="H411" s="2">
        <v>20</v>
      </c>
      <c r="I411" s="2">
        <v>1</v>
      </c>
      <c r="J411" s="2">
        <v>0</v>
      </c>
      <c r="K411" s="6">
        <v>0.18</v>
      </c>
      <c r="L411" s="2">
        <v>540</v>
      </c>
      <c r="M411" s="7">
        <f>(C411+H411)*E411*F411*G411*I411+J411+L411</f>
        <v>3788.0031900000004</v>
      </c>
      <c r="N411" s="8">
        <f>((M411/1.21)-L411)*0.18</f>
        <v>466.30460677685954</v>
      </c>
      <c r="O411" s="9">
        <v>0</v>
      </c>
      <c r="P411" s="8">
        <f t="shared" si="96"/>
        <v>2624.1201067768593</v>
      </c>
      <c r="Q411" s="36">
        <f>(M411/1.21-P411)/(M411/1.21)</f>
        <v>0.16177860209246567</v>
      </c>
    </row>
    <row r="412" spans="2:17" ht="15.6" hidden="1" customHeight="1" thickBot="1" x14ac:dyDescent="0.3">
      <c r="B412" s="105"/>
      <c r="C412" s="34">
        <v>500</v>
      </c>
      <c r="D412" s="32">
        <v>53.33</v>
      </c>
      <c r="E412" s="2">
        <v>1.34</v>
      </c>
      <c r="F412" s="2">
        <v>5.35</v>
      </c>
      <c r="G412" s="2">
        <v>1.23</v>
      </c>
      <c r="H412" s="2">
        <v>20</v>
      </c>
      <c r="I412" s="2">
        <v>1</v>
      </c>
      <c r="J412" s="2">
        <v>0</v>
      </c>
      <c r="K412" s="6">
        <v>0.18</v>
      </c>
      <c r="L412" s="2">
        <v>690</v>
      </c>
      <c r="M412" s="7">
        <f>(C412+H412)*E412*F412*G412*I412+J412+L412</f>
        <v>5275.2924000000003</v>
      </c>
      <c r="N412" s="8">
        <f>((M412/1.21)-L412)*0.18</f>
        <v>660.55424132231406</v>
      </c>
      <c r="O412" s="9">
        <v>0</v>
      </c>
      <c r="P412" s="8">
        <f t="shared" si="96"/>
        <v>3620.8697413223144</v>
      </c>
      <c r="Q412" s="36">
        <f>(M412/1.21-P412)/(M412/1.21)</f>
        <v>0.16947686406918402</v>
      </c>
    </row>
    <row r="413" spans="2:17" ht="15.6" hidden="1" customHeight="1" thickBot="1" x14ac:dyDescent="0.3"/>
    <row r="414" spans="2:17" ht="15.6" hidden="1" customHeight="1" x14ac:dyDescent="0.3">
      <c r="B414" s="103" t="s">
        <v>93</v>
      </c>
      <c r="C414" s="106" t="s">
        <v>16</v>
      </c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9"/>
    </row>
    <row r="415" spans="2:17" ht="15.6" hidden="1" customHeight="1" x14ac:dyDescent="0.25">
      <c r="B415" s="104"/>
      <c r="C415" s="1" t="s">
        <v>1</v>
      </c>
      <c r="D415" s="3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2" t="s">
        <v>8</v>
      </c>
      <c r="K415" s="2" t="s">
        <v>9</v>
      </c>
      <c r="L415" s="2" t="s">
        <v>10</v>
      </c>
      <c r="M415" s="2" t="s">
        <v>11</v>
      </c>
      <c r="N415" s="2" t="s">
        <v>12</v>
      </c>
      <c r="O415" s="2" t="s">
        <v>13</v>
      </c>
      <c r="P415" s="2" t="s">
        <v>14</v>
      </c>
      <c r="Q415" s="3" t="s">
        <v>15</v>
      </c>
    </row>
    <row r="416" spans="2:17" ht="15.6" hidden="1" customHeight="1" x14ac:dyDescent="0.25">
      <c r="B416" s="104"/>
      <c r="C416" s="34">
        <v>30</v>
      </c>
      <c r="D416" s="32">
        <v>78.86</v>
      </c>
      <c r="E416" s="2">
        <v>1.3</v>
      </c>
      <c r="F416" s="2">
        <v>5.35</v>
      </c>
      <c r="G416" s="2">
        <v>1.23</v>
      </c>
      <c r="H416" s="2">
        <v>30</v>
      </c>
      <c r="I416" s="2">
        <v>1</v>
      </c>
      <c r="J416" s="2">
        <v>0</v>
      </c>
      <c r="K416" s="6">
        <v>0.18</v>
      </c>
      <c r="L416" s="2">
        <v>210</v>
      </c>
      <c r="M416" s="7">
        <f>(C416+H416)*E416*F416*G416*I416+J416+L416</f>
        <v>723.27899999999988</v>
      </c>
      <c r="N416" s="8">
        <f>((M416/1.21)-L416)*0.18</f>
        <v>69.795223140495835</v>
      </c>
      <c r="O416" s="9">
        <v>0</v>
      </c>
      <c r="P416" s="8">
        <f>(1-O416)*C416*F416+(D416*F416)+N416</f>
        <v>652.19622314049582</v>
      </c>
      <c r="Q416" s="36">
        <f>(M416/1.21-P416)/(M416/1.21)</f>
        <v>-9.1083012226264165E-2</v>
      </c>
    </row>
    <row r="417" spans="2:17" ht="15.6" hidden="1" customHeight="1" x14ac:dyDescent="0.25">
      <c r="B417" s="104"/>
      <c r="C417" s="34">
        <v>60</v>
      </c>
      <c r="D417" s="32">
        <v>78.86</v>
      </c>
      <c r="E417" s="2">
        <v>1.325</v>
      </c>
      <c r="F417" s="2">
        <v>5.35</v>
      </c>
      <c r="G417" s="2">
        <v>1.23</v>
      </c>
      <c r="H417" s="2">
        <v>30</v>
      </c>
      <c r="I417" s="2">
        <v>1</v>
      </c>
      <c r="J417" s="2">
        <v>0</v>
      </c>
      <c r="K417" s="6">
        <v>0.18</v>
      </c>
      <c r="L417" s="2">
        <v>210</v>
      </c>
      <c r="M417" s="7">
        <f>(C417+H417)*E417*F417*G417*I417+J417+L417</f>
        <v>994.72462499999995</v>
      </c>
      <c r="N417" s="8">
        <f>((M417/1.21)-L417)*0.18</f>
        <v>110.17556404958677</v>
      </c>
      <c r="O417" s="9">
        <v>0</v>
      </c>
      <c r="P417" s="8">
        <f>(1-O417)*C417*F417+(D417*F417)+N417</f>
        <v>853.07656404958675</v>
      </c>
      <c r="Q417" s="36">
        <f>(M417/1.21-P417)/(M417/1.21)</f>
        <v>-3.7696882692534149E-2</v>
      </c>
    </row>
    <row r="418" spans="2:17" ht="15.6" hidden="1" customHeight="1" x14ac:dyDescent="0.25">
      <c r="B418" s="104"/>
      <c r="C418" s="34">
        <v>120</v>
      </c>
      <c r="D418" s="32">
        <v>78.86</v>
      </c>
      <c r="E418" s="2">
        <v>1.345</v>
      </c>
      <c r="F418" s="2">
        <v>5.35</v>
      </c>
      <c r="G418" s="2">
        <v>1.23</v>
      </c>
      <c r="H418" s="2">
        <v>30</v>
      </c>
      <c r="I418" s="2">
        <v>1</v>
      </c>
      <c r="J418" s="2">
        <v>0</v>
      </c>
      <c r="K418" s="6">
        <v>0.18</v>
      </c>
      <c r="L418" s="2">
        <v>210</v>
      </c>
      <c r="M418" s="7">
        <f>(C418+H418)*E418*F418*G418*I418+J418+L418</f>
        <v>1537.615875</v>
      </c>
      <c r="N418" s="8">
        <f>((M418/1.21)-L418)*0.18</f>
        <v>190.93624586776858</v>
      </c>
      <c r="O418" s="9">
        <v>0</v>
      </c>
      <c r="P418" s="8">
        <f>(1-O418)*C418*F418+(D418*F418)+N418</f>
        <v>1254.8372458677684</v>
      </c>
      <c r="Q418" s="36">
        <f>(M418/1.21-P418)/(M418/1.21)</f>
        <v>1.2527711122909778E-2</v>
      </c>
    </row>
    <row r="419" spans="2:17" ht="15.6" hidden="1" customHeight="1" x14ac:dyDescent="0.25">
      <c r="B419" s="104"/>
      <c r="C419" s="34">
        <v>350</v>
      </c>
      <c r="D419" s="32">
        <v>78.86</v>
      </c>
      <c r="E419" s="2">
        <v>1.36</v>
      </c>
      <c r="F419" s="2">
        <v>5.35</v>
      </c>
      <c r="G419" s="2">
        <v>1.23</v>
      </c>
      <c r="H419" s="2">
        <v>30</v>
      </c>
      <c r="I419" s="2">
        <v>1</v>
      </c>
      <c r="J419" s="2">
        <v>0</v>
      </c>
      <c r="K419" s="6">
        <v>0.18</v>
      </c>
      <c r="L419" s="2">
        <v>270</v>
      </c>
      <c r="M419" s="7">
        <f>(C419+H419)*E419*F419*G419*I419+J419+L419</f>
        <v>3670.8024</v>
      </c>
      <c r="N419" s="8">
        <f>((M419/1.21)-L419)*0.18</f>
        <v>497.46977851239666</v>
      </c>
      <c r="O419" s="9">
        <v>0</v>
      </c>
      <c r="P419" s="8">
        <f>(1-O419)*C419*F419+(D419*F419)+N419</f>
        <v>2791.8707785123966</v>
      </c>
      <c r="Q419" s="36">
        <f>(M419/1.21-P419)/(M419/1.21)</f>
        <v>7.9720651266872916E-2</v>
      </c>
    </row>
    <row r="420" spans="2:17" ht="15.6" hidden="1" customHeight="1" x14ac:dyDescent="0.25">
      <c r="B420" s="104"/>
      <c r="C420" s="34">
        <v>500</v>
      </c>
      <c r="D420" s="32">
        <v>78.86</v>
      </c>
      <c r="E420" s="2">
        <v>1.36</v>
      </c>
      <c r="F420" s="2">
        <v>5.35</v>
      </c>
      <c r="G420" s="2">
        <v>1.23</v>
      </c>
      <c r="H420" s="2">
        <v>30</v>
      </c>
      <c r="I420" s="2">
        <v>1</v>
      </c>
      <c r="J420" s="2">
        <v>0</v>
      </c>
      <c r="K420" s="6">
        <v>0.18</v>
      </c>
      <c r="L420" s="2">
        <v>620</v>
      </c>
      <c r="M420" s="7">
        <f>(C420+H420)*E420*F420*G420*I420+J420+L420</f>
        <v>5363.2244000000001</v>
      </c>
      <c r="N420" s="8">
        <f>((M420/1.21)-L420)*0.18</f>
        <v>686.23503471074389</v>
      </c>
      <c r="O420" s="9">
        <v>0</v>
      </c>
      <c r="P420" s="8">
        <f>(1-O420)*C420*F420+(D420*F420)+N420</f>
        <v>3783.1360347107438</v>
      </c>
      <c r="Q420" s="36">
        <f>(M420/1.21-P420)/(M420/1.21)</f>
        <v>0.14648460318013182</v>
      </c>
    </row>
    <row r="421" spans="2:17" ht="15.6" hidden="1" customHeight="1" x14ac:dyDescent="0.25">
      <c r="B421" s="104"/>
      <c r="Q421" s="18"/>
    </row>
    <row r="422" spans="2:17" ht="15.6" hidden="1" customHeight="1" x14ac:dyDescent="0.3">
      <c r="B422" s="104"/>
      <c r="C422" s="107" t="s">
        <v>17</v>
      </c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9"/>
    </row>
    <row r="423" spans="2:17" ht="15.6" hidden="1" customHeight="1" x14ac:dyDescent="0.25">
      <c r="B423" s="104"/>
      <c r="C423" s="1" t="s">
        <v>1</v>
      </c>
      <c r="D423" s="32" t="s">
        <v>2</v>
      </c>
      <c r="E423" s="2" t="s">
        <v>3</v>
      </c>
      <c r="F423" s="2" t="s">
        <v>4</v>
      </c>
      <c r="G423" s="2" t="s">
        <v>5</v>
      </c>
      <c r="H423" s="2" t="s">
        <v>6</v>
      </c>
      <c r="I423" s="2" t="s">
        <v>7</v>
      </c>
      <c r="J423" s="2" t="s">
        <v>8</v>
      </c>
      <c r="K423" s="2" t="s">
        <v>9</v>
      </c>
      <c r="L423" s="2" t="s">
        <v>10</v>
      </c>
      <c r="M423" s="2" t="s">
        <v>11</v>
      </c>
      <c r="N423" s="2" t="s">
        <v>12</v>
      </c>
      <c r="O423" s="2" t="s">
        <v>13</v>
      </c>
      <c r="P423" s="2" t="s">
        <v>14</v>
      </c>
      <c r="Q423" s="3" t="s">
        <v>15</v>
      </c>
    </row>
    <row r="424" spans="2:17" ht="15.6" hidden="1" customHeight="1" x14ac:dyDescent="0.25">
      <c r="B424" s="104"/>
      <c r="C424" s="34">
        <v>30</v>
      </c>
      <c r="D424" s="32">
        <v>78.86</v>
      </c>
      <c r="E424" s="2">
        <v>1.08</v>
      </c>
      <c r="F424" s="2">
        <v>5.35</v>
      </c>
      <c r="G424" s="2">
        <v>1.23</v>
      </c>
      <c r="H424" s="2">
        <v>20</v>
      </c>
      <c r="I424" s="2">
        <v>1</v>
      </c>
      <c r="J424" s="2">
        <v>0</v>
      </c>
      <c r="K424" s="6">
        <v>0.18</v>
      </c>
      <c r="L424" s="2">
        <f>80+360</f>
        <v>440</v>
      </c>
      <c r="M424" s="7">
        <f>(C424+H424)*E424*F424*G424*I424+J424+L424</f>
        <v>795.34699999999998</v>
      </c>
      <c r="N424" s="8">
        <f>((M424/1.21)-L424)*0.18</f>
        <v>39.116082644628101</v>
      </c>
      <c r="O424" s="9">
        <v>0</v>
      </c>
      <c r="P424" s="8">
        <f>(1-O424)*C424*F424+(D424*F424)+N424</f>
        <v>621.51708264462809</v>
      </c>
      <c r="Q424" s="36">
        <f>(M424/1.21-P424)/(M424/1.21)</f>
        <v>5.4455891579398716E-2</v>
      </c>
    </row>
    <row r="425" spans="2:17" ht="15.6" hidden="1" customHeight="1" x14ac:dyDescent="0.25">
      <c r="B425" s="104"/>
      <c r="C425" s="34">
        <v>60</v>
      </c>
      <c r="D425" s="32">
        <v>78.86</v>
      </c>
      <c r="E425" s="2">
        <v>1.1919999999999999</v>
      </c>
      <c r="F425" s="2">
        <v>5.35</v>
      </c>
      <c r="G425" s="2">
        <v>1.23</v>
      </c>
      <c r="H425" s="2">
        <v>20</v>
      </c>
      <c r="I425" s="2">
        <v>1</v>
      </c>
      <c r="J425" s="2">
        <v>0</v>
      </c>
      <c r="K425" s="6">
        <v>0.18</v>
      </c>
      <c r="L425" s="2">
        <f>110+360</f>
        <v>470</v>
      </c>
      <c r="M425" s="7">
        <f>(C425+H425)*E425*F425*G425*I425+J425+L425</f>
        <v>1097.51648</v>
      </c>
      <c r="N425" s="8">
        <f>((M425/1.21)-L425)*0.18</f>
        <v>78.666914380165295</v>
      </c>
      <c r="O425" s="9">
        <v>0</v>
      </c>
      <c r="P425" s="8">
        <f t="shared" ref="P425:P428" si="97">(1-O425)*C425*F425+(D425*F425)+N425</f>
        <v>821.56791438016523</v>
      </c>
      <c r="Q425" s="36">
        <f>(M425/1.21-P425)/(M425/1.21)</f>
        <v>9.4230296751443871E-2</v>
      </c>
    </row>
    <row r="426" spans="2:17" ht="15.6" hidden="1" customHeight="1" x14ac:dyDescent="0.25">
      <c r="B426" s="104"/>
      <c r="C426" s="34">
        <v>120</v>
      </c>
      <c r="D426" s="32">
        <v>78.86</v>
      </c>
      <c r="E426" s="2">
        <v>1.27</v>
      </c>
      <c r="F426" s="2">
        <v>5.35</v>
      </c>
      <c r="G426" s="2">
        <v>1.23</v>
      </c>
      <c r="H426" s="2">
        <v>20</v>
      </c>
      <c r="I426" s="2">
        <v>1</v>
      </c>
      <c r="J426" s="2">
        <v>0</v>
      </c>
      <c r="K426" s="6">
        <v>0.18</v>
      </c>
      <c r="L426" s="2">
        <f>210+360</f>
        <v>570</v>
      </c>
      <c r="M426" s="7">
        <f>(C426+H426)*E426*F426*G426*I426+J426+L426</f>
        <v>1740.0128999999999</v>
      </c>
      <c r="N426" s="8">
        <f>((M426/1.21)-L426)*0.18</f>
        <v>156.24489421487604</v>
      </c>
      <c r="O426" s="9">
        <v>0</v>
      </c>
      <c r="P426" s="8">
        <f t="shared" si="97"/>
        <v>1220.1458942148759</v>
      </c>
      <c r="Q426" s="36">
        <f>(M426/1.21-P426)/(M426/1.21)</f>
        <v>0.15151403072931255</v>
      </c>
    </row>
    <row r="427" spans="2:17" ht="15.6" hidden="1" customHeight="1" x14ac:dyDescent="0.25">
      <c r="B427" s="104"/>
      <c r="C427" s="34">
        <v>350</v>
      </c>
      <c r="D427" s="32">
        <v>78.86</v>
      </c>
      <c r="E427" s="2">
        <v>1.3340000000000001</v>
      </c>
      <c r="F427" s="2">
        <v>5.35</v>
      </c>
      <c r="G427" s="2">
        <v>1.23</v>
      </c>
      <c r="H427" s="2">
        <v>20</v>
      </c>
      <c r="I427" s="2">
        <v>1</v>
      </c>
      <c r="J427" s="2">
        <v>0</v>
      </c>
      <c r="K427" s="6">
        <v>0.18</v>
      </c>
      <c r="L427" s="2">
        <f>540+460</f>
        <v>1000</v>
      </c>
      <c r="M427" s="7">
        <f>(C427+H427)*E427*F427*G427*I427+J427+L427</f>
        <v>4248.0031900000004</v>
      </c>
      <c r="N427" s="8">
        <f>((M427/1.21)-L427)*0.18</f>
        <v>451.93435884297526</v>
      </c>
      <c r="O427" s="9">
        <v>0</v>
      </c>
      <c r="P427" s="8">
        <f t="shared" si="97"/>
        <v>2746.335358842975</v>
      </c>
      <c r="Q427" s="36">
        <f>(M427/1.21-P427)/(M427/1.21)</f>
        <v>0.21773463070304347</v>
      </c>
    </row>
    <row r="428" spans="2:17" ht="15.6" hidden="1" customHeight="1" thickBot="1" x14ac:dyDescent="0.3">
      <c r="B428" s="105"/>
      <c r="C428" s="34">
        <v>500</v>
      </c>
      <c r="D428" s="32">
        <v>78.86</v>
      </c>
      <c r="E428" s="2">
        <v>1.34</v>
      </c>
      <c r="F428" s="2">
        <v>5.35</v>
      </c>
      <c r="G428" s="2">
        <v>1.23</v>
      </c>
      <c r="H428" s="2">
        <v>20</v>
      </c>
      <c r="I428" s="2">
        <v>1</v>
      </c>
      <c r="J428" s="2">
        <v>0</v>
      </c>
      <c r="K428" s="6">
        <v>0.18</v>
      </c>
      <c r="L428" s="2">
        <f>690+780</f>
        <v>1470</v>
      </c>
      <c r="M428" s="7">
        <f>(C428+H428)*E428*F428*G428*I428+J428+L428</f>
        <v>6055.2924000000003</v>
      </c>
      <c r="N428" s="8">
        <f>((M428/1.21)-L428)*0.18</f>
        <v>636.1872991735537</v>
      </c>
      <c r="O428" s="9">
        <v>0</v>
      </c>
      <c r="P428" s="8">
        <f t="shared" si="97"/>
        <v>3733.0882991735534</v>
      </c>
      <c r="Q428" s="36">
        <f>(M428/1.21-P428)/(M428/1.21)</f>
        <v>0.25403489317873412</v>
      </c>
    </row>
    <row r="429" spans="2:17" ht="15.6" hidden="1" customHeight="1" x14ac:dyDescent="0.25"/>
    <row r="430" spans="2:17" ht="15.6" hidden="1" customHeight="1" thickBot="1" x14ac:dyDescent="0.3"/>
    <row r="431" spans="2:17" ht="15.6" customHeight="1" x14ac:dyDescent="0.3">
      <c r="B431" s="103" t="s">
        <v>96</v>
      </c>
      <c r="C431" s="106" t="s">
        <v>16</v>
      </c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9"/>
    </row>
    <row r="432" spans="2:17" ht="15.6" customHeight="1" x14ac:dyDescent="0.25">
      <c r="B432" s="104"/>
      <c r="C432" s="1" t="s">
        <v>1</v>
      </c>
      <c r="D432" s="32" t="s">
        <v>2</v>
      </c>
      <c r="E432" s="2" t="s">
        <v>3</v>
      </c>
      <c r="F432" s="2" t="s">
        <v>4</v>
      </c>
      <c r="G432" s="2" t="s">
        <v>5</v>
      </c>
      <c r="H432" s="2" t="s">
        <v>6</v>
      </c>
      <c r="I432" s="2" t="s">
        <v>7</v>
      </c>
      <c r="J432" s="2" t="s">
        <v>8</v>
      </c>
      <c r="K432" s="2" t="s">
        <v>9</v>
      </c>
      <c r="L432" s="2" t="s">
        <v>10</v>
      </c>
      <c r="M432" s="2" t="s">
        <v>11</v>
      </c>
      <c r="N432" s="2" t="s">
        <v>12</v>
      </c>
      <c r="O432" s="2" t="s">
        <v>13</v>
      </c>
      <c r="P432" s="2" t="s">
        <v>14</v>
      </c>
      <c r="Q432" s="3" t="s">
        <v>15</v>
      </c>
    </row>
    <row r="433" spans="2:17" ht="15.6" customHeight="1" x14ac:dyDescent="0.25">
      <c r="B433" s="104"/>
      <c r="C433" s="39">
        <v>30</v>
      </c>
      <c r="D433" s="32">
        <v>31.81</v>
      </c>
      <c r="E433" s="2">
        <v>1.4</v>
      </c>
      <c r="F433" s="2">
        <v>24</v>
      </c>
      <c r="G433" s="2">
        <v>1.23</v>
      </c>
      <c r="H433" s="2">
        <v>6.5</v>
      </c>
      <c r="I433" s="2">
        <v>1</v>
      </c>
      <c r="J433" s="2">
        <v>0</v>
      </c>
      <c r="K433" s="6">
        <v>0.18</v>
      </c>
      <c r="L433" s="2">
        <v>0</v>
      </c>
      <c r="M433" s="7">
        <f>(C433+H433)*E433*F433*G433*I433+J433</f>
        <v>1508.4719999999998</v>
      </c>
      <c r="N433" s="8">
        <f>((M433/1.21))*0.18</f>
        <v>224.40079338842969</v>
      </c>
      <c r="O433" s="9">
        <v>0</v>
      </c>
      <c r="P433" s="8">
        <f>(1-O433)*C433*F433+(D433*5)+N433</f>
        <v>1103.4507933884297</v>
      </c>
      <c r="Q433" s="36">
        <f>(M433/1.21-P433)/(M433/1.21)</f>
        <v>0.11488217215831634</v>
      </c>
    </row>
    <row r="434" spans="2:17" ht="15.6" customHeight="1" x14ac:dyDescent="0.25">
      <c r="B434" s="104"/>
      <c r="C434" s="39">
        <v>60</v>
      </c>
      <c r="D434" s="32">
        <v>31.81</v>
      </c>
      <c r="E434" s="2">
        <v>1.39</v>
      </c>
      <c r="F434" s="2">
        <v>24</v>
      </c>
      <c r="G434" s="2">
        <v>1.23</v>
      </c>
      <c r="H434" s="2">
        <v>6.5</v>
      </c>
      <c r="I434" s="2">
        <v>1</v>
      </c>
      <c r="J434" s="2">
        <v>0</v>
      </c>
      <c r="K434" s="6">
        <v>0.18</v>
      </c>
      <c r="L434" s="2">
        <v>0</v>
      </c>
      <c r="M434" s="7">
        <f t="shared" ref="M434:M437" si="98">(C434+H434)*E434*F434*G434*I434+J434</f>
        <v>2728.6811999999995</v>
      </c>
      <c r="N434" s="8">
        <f t="shared" ref="N434:N437" si="99">((M434/1.21))*0.18</f>
        <v>405.9195173553718</v>
      </c>
      <c r="O434" s="9">
        <v>0</v>
      </c>
      <c r="P434" s="8">
        <f t="shared" ref="P434:P437" si="100">(1-O434)*C434*F434+(D434*5)+N434</f>
        <v>2004.9695173553719</v>
      </c>
      <c r="Q434" s="36">
        <f>(M434/1.21-P434)/(M434/1.21)</f>
        <v>0.11092101341849664</v>
      </c>
    </row>
    <row r="435" spans="2:17" ht="15.6" customHeight="1" x14ac:dyDescent="0.25">
      <c r="B435" s="104"/>
      <c r="C435" s="39">
        <v>120</v>
      </c>
      <c r="D435" s="32">
        <v>31.81</v>
      </c>
      <c r="E435" s="2">
        <v>1.38</v>
      </c>
      <c r="F435" s="2">
        <v>24</v>
      </c>
      <c r="G435" s="2">
        <v>1.23</v>
      </c>
      <c r="H435" s="2">
        <v>6.5</v>
      </c>
      <c r="I435" s="2">
        <v>1</v>
      </c>
      <c r="J435" s="2">
        <v>0</v>
      </c>
      <c r="K435" s="6">
        <v>0.18</v>
      </c>
      <c r="L435" s="2">
        <v>0</v>
      </c>
      <c r="M435" s="7">
        <f t="shared" si="98"/>
        <v>5153.3064000000004</v>
      </c>
      <c r="N435" s="8">
        <f t="shared" si="99"/>
        <v>766.60756363636358</v>
      </c>
      <c r="O435" s="9">
        <v>0</v>
      </c>
      <c r="P435" s="8">
        <f t="shared" si="100"/>
        <v>3805.6575636363636</v>
      </c>
      <c r="Q435" s="36">
        <f>(M435/1.21-P435)/(M435/1.21)</f>
        <v>0.10642890319892488</v>
      </c>
    </row>
    <row r="436" spans="2:17" ht="15.6" customHeight="1" x14ac:dyDescent="0.25">
      <c r="B436" s="104"/>
      <c r="C436" s="39">
        <v>350</v>
      </c>
      <c r="D436" s="32">
        <v>31.81</v>
      </c>
      <c r="E436" s="2">
        <v>1.37</v>
      </c>
      <c r="F436" s="2">
        <v>24</v>
      </c>
      <c r="G436" s="2">
        <v>1.23</v>
      </c>
      <c r="H436" s="2">
        <v>6.5</v>
      </c>
      <c r="I436" s="2">
        <v>1</v>
      </c>
      <c r="J436" s="2">
        <v>0</v>
      </c>
      <c r="K436" s="6">
        <v>0.18</v>
      </c>
      <c r="L436" s="2">
        <v>0</v>
      </c>
      <c r="M436" s="7">
        <f t="shared" si="98"/>
        <v>14417.715600000001</v>
      </c>
      <c r="N436" s="8">
        <f t="shared" si="99"/>
        <v>2144.7841388429756</v>
      </c>
      <c r="O436" s="9">
        <v>0</v>
      </c>
      <c r="P436" s="8">
        <f t="shared" si="100"/>
        <v>10703.834138842974</v>
      </c>
      <c r="Q436" s="36">
        <f>(M436/1.21-P436)/(M436/1.21)</f>
        <v>0.10168575471137764</v>
      </c>
    </row>
    <row r="437" spans="2:17" ht="15.6" customHeight="1" x14ac:dyDescent="0.25">
      <c r="B437" s="104"/>
      <c r="C437" s="39">
        <v>500</v>
      </c>
      <c r="D437" s="32">
        <v>31.81</v>
      </c>
      <c r="E437" s="2">
        <v>1.36</v>
      </c>
      <c r="F437" s="2">
        <v>24</v>
      </c>
      <c r="G437" s="2">
        <v>1.23</v>
      </c>
      <c r="H437" s="2">
        <v>6.5</v>
      </c>
      <c r="I437" s="2">
        <v>1</v>
      </c>
      <c r="J437" s="2">
        <v>0</v>
      </c>
      <c r="K437" s="6">
        <v>0.18</v>
      </c>
      <c r="L437" s="2">
        <v>0</v>
      </c>
      <c r="M437" s="7">
        <f t="shared" si="98"/>
        <v>20334.556799999998</v>
      </c>
      <c r="N437" s="8">
        <f t="shared" si="99"/>
        <v>3024.975391735537</v>
      </c>
      <c r="O437" s="9">
        <v>0</v>
      </c>
      <c r="P437" s="8">
        <f t="shared" si="100"/>
        <v>15184.025391735537</v>
      </c>
      <c r="Q437" s="36">
        <f>(M437/1.21-P437)/(M437/1.21)</f>
        <v>9.64803951861887E-2</v>
      </c>
    </row>
    <row r="438" spans="2:17" ht="15.6" customHeight="1" x14ac:dyDescent="0.25">
      <c r="B438" s="104"/>
      <c r="Q438" s="18"/>
    </row>
    <row r="439" spans="2:17" ht="15.6" customHeight="1" x14ac:dyDescent="0.3">
      <c r="B439" s="104"/>
      <c r="C439" s="107" t="s">
        <v>17</v>
      </c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9"/>
    </row>
    <row r="440" spans="2:17" ht="15.6" customHeight="1" x14ac:dyDescent="0.25">
      <c r="B440" s="104"/>
      <c r="C440" s="1" t="s">
        <v>1</v>
      </c>
      <c r="D440" s="32" t="s">
        <v>2</v>
      </c>
      <c r="E440" s="2" t="s">
        <v>3</v>
      </c>
      <c r="F440" s="2" t="s">
        <v>4</v>
      </c>
      <c r="G440" s="2" t="s">
        <v>5</v>
      </c>
      <c r="H440" s="2" t="s">
        <v>6</v>
      </c>
      <c r="I440" s="2" t="s">
        <v>7</v>
      </c>
      <c r="J440" s="2" t="s">
        <v>8</v>
      </c>
      <c r="K440" s="2" t="s">
        <v>9</v>
      </c>
      <c r="L440" s="2" t="s">
        <v>10</v>
      </c>
      <c r="M440" s="2" t="s">
        <v>11</v>
      </c>
      <c r="N440" s="2" t="s">
        <v>12</v>
      </c>
      <c r="O440" s="2" t="s">
        <v>13</v>
      </c>
      <c r="P440" s="2" t="s">
        <v>14</v>
      </c>
      <c r="Q440" s="3" t="s">
        <v>15</v>
      </c>
    </row>
    <row r="441" spans="2:17" ht="15.6" customHeight="1" x14ac:dyDescent="0.25">
      <c r="B441" s="104"/>
      <c r="C441" s="39">
        <v>30</v>
      </c>
      <c r="D441" s="32">
        <v>22.31</v>
      </c>
      <c r="E441" s="2">
        <v>1.4</v>
      </c>
      <c r="F441" s="2">
        <v>24</v>
      </c>
      <c r="G441" s="2">
        <v>1.23</v>
      </c>
      <c r="H441" s="2">
        <v>4.5</v>
      </c>
      <c r="I441" s="2">
        <v>1</v>
      </c>
      <c r="J441" s="2">
        <v>0</v>
      </c>
      <c r="K441" s="6">
        <v>0.18</v>
      </c>
      <c r="L441" s="2">
        <v>49</v>
      </c>
      <c r="M441" s="7">
        <f>(C441+H441)*E441*F441*G441*I441+J441</f>
        <v>1425.8159999999998</v>
      </c>
      <c r="N441" s="8">
        <f>((M441/1.21))*0.18</f>
        <v>212.10485950413221</v>
      </c>
      <c r="O441" s="9">
        <v>0</v>
      </c>
      <c r="P441" s="8">
        <f>(1-O441)*C441*F441+(D441*5)+N441</f>
        <v>1043.6548595041322</v>
      </c>
      <c r="Q441" s="36">
        <f>(M441/1.21-P441)/(M441/1.21)</f>
        <v>0.11431602675239995</v>
      </c>
    </row>
    <row r="442" spans="2:17" ht="15.6" customHeight="1" x14ac:dyDescent="0.25">
      <c r="B442" s="104"/>
      <c r="C442" s="39">
        <v>60</v>
      </c>
      <c r="D442" s="32">
        <v>22.31</v>
      </c>
      <c r="E442" s="2">
        <v>1.39</v>
      </c>
      <c r="F442" s="2">
        <v>24</v>
      </c>
      <c r="G442" s="2">
        <v>1.23</v>
      </c>
      <c r="H442" s="2">
        <v>4.5</v>
      </c>
      <c r="I442" s="2">
        <v>1</v>
      </c>
      <c r="J442" s="2">
        <v>0</v>
      </c>
      <c r="K442" s="6">
        <v>0.18</v>
      </c>
      <c r="L442" s="2">
        <v>49</v>
      </c>
      <c r="M442" s="7">
        <f t="shared" ref="M442:M445" si="101">(C442+H442)*E442*F442*G442*I442+J442</f>
        <v>2646.6155999999996</v>
      </c>
      <c r="N442" s="8">
        <f t="shared" ref="N442:N445" si="102">((M442/1.21))*0.18</f>
        <v>393.71141157024783</v>
      </c>
      <c r="O442" s="9">
        <v>0</v>
      </c>
      <c r="P442" s="8">
        <f t="shared" ref="P442:P445" si="103">(1-O442)*C442*F442+(D442*5)+N442</f>
        <v>1945.2614115702477</v>
      </c>
      <c r="Q442" s="36">
        <f t="shared" ref="Q442:Q445" si="104">(M442/1.21-P442)/(M442/1.21)</f>
        <v>0.1106504820722737</v>
      </c>
    </row>
    <row r="443" spans="2:17" ht="15.6" customHeight="1" x14ac:dyDescent="0.25">
      <c r="B443" s="104"/>
      <c r="C443" s="39">
        <v>120</v>
      </c>
      <c r="D443" s="32">
        <v>22.31</v>
      </c>
      <c r="E443" s="2">
        <v>1.38</v>
      </c>
      <c r="F443" s="2">
        <v>24</v>
      </c>
      <c r="G443" s="2">
        <v>1.23</v>
      </c>
      <c r="H443" s="2">
        <v>4.5</v>
      </c>
      <c r="I443" s="2">
        <v>1</v>
      </c>
      <c r="J443" s="2">
        <v>0</v>
      </c>
      <c r="K443" s="6">
        <v>0.18</v>
      </c>
      <c r="L443" s="2">
        <v>49</v>
      </c>
      <c r="M443" s="7">
        <f t="shared" si="101"/>
        <v>5071.8311999999996</v>
      </c>
      <c r="N443" s="8">
        <f t="shared" si="102"/>
        <v>754.48728595041314</v>
      </c>
      <c r="O443" s="9">
        <v>0</v>
      </c>
      <c r="P443" s="8">
        <f t="shared" si="103"/>
        <v>3746.0372859504132</v>
      </c>
      <c r="Q443" s="36">
        <f t="shared" si="104"/>
        <v>0.10629811260280107</v>
      </c>
    </row>
    <row r="444" spans="2:17" ht="15.6" customHeight="1" x14ac:dyDescent="0.25">
      <c r="B444" s="104"/>
      <c r="C444" s="39">
        <v>350</v>
      </c>
      <c r="D444" s="32">
        <v>22.31</v>
      </c>
      <c r="E444" s="2">
        <v>1.37</v>
      </c>
      <c r="F444" s="2">
        <v>24</v>
      </c>
      <c r="G444" s="2">
        <v>1.23</v>
      </c>
      <c r="H444" s="2">
        <v>4.5</v>
      </c>
      <c r="I444" s="2">
        <v>1</v>
      </c>
      <c r="J444" s="2">
        <v>0</v>
      </c>
      <c r="K444" s="6">
        <v>0.18</v>
      </c>
      <c r="L444" s="2">
        <v>49</v>
      </c>
      <c r="M444" s="7">
        <f t="shared" si="101"/>
        <v>14336.830800000002</v>
      </c>
      <c r="N444" s="8">
        <f t="shared" si="102"/>
        <v>2132.7516892561985</v>
      </c>
      <c r="O444" s="9">
        <v>0</v>
      </c>
      <c r="P444" s="8">
        <f t="shared" si="103"/>
        <v>10644.301689256197</v>
      </c>
      <c r="Q444" s="36">
        <f t="shared" si="104"/>
        <v>0.1016421115885669</v>
      </c>
    </row>
    <row r="445" spans="2:17" ht="15.6" customHeight="1" thickBot="1" x14ac:dyDescent="0.3">
      <c r="B445" s="105"/>
      <c r="C445" s="39">
        <v>500</v>
      </c>
      <c r="D445" s="32">
        <v>22.31</v>
      </c>
      <c r="E445" s="2">
        <v>1.36</v>
      </c>
      <c r="F445" s="2">
        <v>24</v>
      </c>
      <c r="G445" s="2">
        <v>1.23</v>
      </c>
      <c r="H445" s="2">
        <v>4.5</v>
      </c>
      <c r="I445" s="2">
        <v>1</v>
      </c>
      <c r="J445" s="2">
        <v>0</v>
      </c>
      <c r="K445" s="6">
        <v>0.18</v>
      </c>
      <c r="L445" s="2">
        <v>49</v>
      </c>
      <c r="M445" s="7">
        <f t="shared" si="101"/>
        <v>20254.2624</v>
      </c>
      <c r="N445" s="8">
        <f t="shared" si="102"/>
        <v>3013.030770247934</v>
      </c>
      <c r="O445" s="9">
        <v>0</v>
      </c>
      <c r="P445" s="8">
        <f t="shared" si="103"/>
        <v>15124.580770247932</v>
      </c>
      <c r="Q445" s="36">
        <f t="shared" si="104"/>
        <v>9.6449805449345935E-2</v>
      </c>
    </row>
    <row r="447" spans="2:17" ht="15.6" hidden="1" customHeight="1" x14ac:dyDescent="0.3">
      <c r="B447" s="103" t="s">
        <v>97</v>
      </c>
      <c r="C447" s="106" t="s">
        <v>16</v>
      </c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9"/>
    </row>
    <row r="448" spans="2:17" ht="15.6" hidden="1" customHeight="1" x14ac:dyDescent="0.25">
      <c r="B448" s="104"/>
      <c r="C448" s="1" t="s">
        <v>1</v>
      </c>
      <c r="D448" s="32" t="s">
        <v>2</v>
      </c>
      <c r="E448" s="2" t="s">
        <v>3</v>
      </c>
      <c r="F448" s="2" t="s">
        <v>4</v>
      </c>
      <c r="G448" s="2" t="s">
        <v>5</v>
      </c>
      <c r="H448" s="2" t="s">
        <v>6</v>
      </c>
      <c r="I448" s="2" t="s">
        <v>7</v>
      </c>
      <c r="J448" s="2" t="s">
        <v>8</v>
      </c>
      <c r="K448" s="2" t="s">
        <v>9</v>
      </c>
      <c r="L448" s="2" t="s">
        <v>10</v>
      </c>
      <c r="M448" s="2" t="s">
        <v>11</v>
      </c>
      <c r="N448" s="2" t="s">
        <v>12</v>
      </c>
      <c r="O448" s="2" t="s">
        <v>13</v>
      </c>
      <c r="P448" s="2" t="s">
        <v>14</v>
      </c>
      <c r="Q448" s="3" t="s">
        <v>15</v>
      </c>
    </row>
    <row r="449" spans="2:17" ht="15.6" hidden="1" customHeight="1" x14ac:dyDescent="0.25">
      <c r="B449" s="104"/>
      <c r="C449" s="39">
        <v>30</v>
      </c>
      <c r="D449" s="32">
        <v>53.33</v>
      </c>
      <c r="E449" s="2">
        <v>1.4</v>
      </c>
      <c r="F449" s="2">
        <v>25</v>
      </c>
      <c r="G449" s="2">
        <v>1.23</v>
      </c>
      <c r="H449" s="2">
        <v>6.5</v>
      </c>
      <c r="I449" s="2">
        <v>1</v>
      </c>
      <c r="J449" s="2">
        <v>0</v>
      </c>
      <c r="K449" s="6">
        <v>0.18</v>
      </c>
      <c r="L449" s="2">
        <v>0</v>
      </c>
      <c r="M449" s="7">
        <f>(C449+H449)*E449*F449*G449*I449+J449+L449</f>
        <v>1571.3249999999996</v>
      </c>
      <c r="N449" s="8">
        <f>((M449/1.21)-L449)*0.18</f>
        <v>233.75082644628094</v>
      </c>
      <c r="O449" s="9">
        <v>0</v>
      </c>
      <c r="P449" s="8">
        <f>(1-O449)*C449*F449+(D449*5.22)+N449</f>
        <v>1262.1334264462807</v>
      </c>
      <c r="Q449" s="36">
        <f>(M449/1.21-P449)/(M449/1.21)</f>
        <v>2.8093204143000313E-2</v>
      </c>
    </row>
    <row r="450" spans="2:17" ht="15.6" hidden="1" customHeight="1" x14ac:dyDescent="0.25">
      <c r="B450" s="104"/>
      <c r="C450" s="39">
        <v>60</v>
      </c>
      <c r="D450" s="32">
        <v>53.33</v>
      </c>
      <c r="E450" s="2">
        <v>1.39</v>
      </c>
      <c r="F450" s="2">
        <v>25</v>
      </c>
      <c r="G450" s="2">
        <v>1.23</v>
      </c>
      <c r="H450" s="2">
        <v>6.5</v>
      </c>
      <c r="I450" s="2">
        <v>1</v>
      </c>
      <c r="J450" s="2">
        <v>0</v>
      </c>
      <c r="K450" s="6">
        <v>0.18</v>
      </c>
      <c r="L450" s="2">
        <v>0</v>
      </c>
      <c r="M450" s="7">
        <f>(C450+H450)*E450*F450*G450*I450+J450+L450</f>
        <v>2842.3762499999993</v>
      </c>
      <c r="N450" s="8">
        <f>((M450/1.21)-L450)*0.18</f>
        <v>422.8328305785123</v>
      </c>
      <c r="O450" s="9">
        <v>0</v>
      </c>
      <c r="P450" s="8">
        <f t="shared" ref="P450:P453" si="105">(1-O450)*C450*F450+(D450*5.22)+N450</f>
        <v>2201.215430578512</v>
      </c>
      <c r="Q450" s="36">
        <f>(M450/1.21-P450)/(M450/1.21)</f>
        <v>6.2942257908325749E-2</v>
      </c>
    </row>
    <row r="451" spans="2:17" ht="15.6" hidden="1" customHeight="1" x14ac:dyDescent="0.25">
      <c r="B451" s="104"/>
      <c r="C451" s="39">
        <v>120</v>
      </c>
      <c r="D451" s="32">
        <v>53.33</v>
      </c>
      <c r="E451" s="2">
        <v>1.38</v>
      </c>
      <c r="F451" s="2">
        <v>25</v>
      </c>
      <c r="G451" s="2">
        <v>1.23</v>
      </c>
      <c r="H451" s="2">
        <v>6.5</v>
      </c>
      <c r="I451" s="2">
        <v>1</v>
      </c>
      <c r="J451" s="2">
        <v>0</v>
      </c>
      <c r="K451" s="6">
        <v>0.18</v>
      </c>
      <c r="L451" s="2">
        <v>0</v>
      </c>
      <c r="M451" s="7">
        <f>(C451+H451)*E451*F451*G451*I451+J451+L451</f>
        <v>5368.0275000000001</v>
      </c>
      <c r="N451" s="8">
        <f>((M451/1.21)-L451)*0.18</f>
        <v>798.54954545454552</v>
      </c>
      <c r="O451" s="9">
        <v>0</v>
      </c>
      <c r="P451" s="8">
        <f t="shared" si="105"/>
        <v>4076.9321454545452</v>
      </c>
      <c r="Q451" s="36">
        <f>(M451/1.21-P451)/(M451/1.21)</f>
        <v>8.1024101310956526E-2</v>
      </c>
    </row>
    <row r="452" spans="2:17" ht="15.6" hidden="1" customHeight="1" x14ac:dyDescent="0.25">
      <c r="B452" s="104"/>
      <c r="C452" s="39">
        <v>350</v>
      </c>
      <c r="D452" s="32">
        <v>53.33</v>
      </c>
      <c r="E452" s="2">
        <v>1.37</v>
      </c>
      <c r="F452" s="2">
        <v>25</v>
      </c>
      <c r="G452" s="2">
        <v>1.23</v>
      </c>
      <c r="H452" s="2">
        <v>6.5</v>
      </c>
      <c r="I452" s="2">
        <v>1</v>
      </c>
      <c r="J452" s="2">
        <v>0</v>
      </c>
      <c r="K452" s="6">
        <v>0.18</v>
      </c>
      <c r="L452" s="2">
        <v>0</v>
      </c>
      <c r="M452" s="7">
        <f>(C452+H452)*E452*F452*G452*I452+J452+L452</f>
        <v>15018.453750000001</v>
      </c>
      <c r="N452" s="8">
        <f>((M452/1.21)-L452)*0.18</f>
        <v>2234.150144628099</v>
      </c>
      <c r="O452" s="9">
        <v>0</v>
      </c>
      <c r="P452" s="8">
        <f t="shared" si="105"/>
        <v>11262.532744628101</v>
      </c>
      <c r="Q452" s="36">
        <f>(M452/1.21-P452)/(M452/1.21)</f>
        <v>9.2605347537858151E-2</v>
      </c>
    </row>
    <row r="453" spans="2:17" ht="15.6" hidden="1" customHeight="1" x14ac:dyDescent="0.25">
      <c r="B453" s="104"/>
      <c r="C453" s="39">
        <v>500</v>
      </c>
      <c r="D453" s="32">
        <v>53.33</v>
      </c>
      <c r="E453" s="2">
        <v>1.36</v>
      </c>
      <c r="F453" s="2">
        <v>25</v>
      </c>
      <c r="G453" s="2">
        <v>1.23</v>
      </c>
      <c r="H453" s="2">
        <v>6.5</v>
      </c>
      <c r="I453" s="2">
        <v>1</v>
      </c>
      <c r="J453" s="2">
        <v>0</v>
      </c>
      <c r="K453" s="6">
        <v>0.18</v>
      </c>
      <c r="L453" s="2">
        <v>0</v>
      </c>
      <c r="M453" s="7">
        <f>(C453+H453)*E453*F453*G453*I453+J453+L453</f>
        <v>21181.829999999998</v>
      </c>
      <c r="N453" s="8">
        <f>((M453/1.21)-L453)*0.18</f>
        <v>3151.016033057851</v>
      </c>
      <c r="O453" s="9">
        <v>0</v>
      </c>
      <c r="P453" s="8">
        <f t="shared" si="105"/>
        <v>15929.398633057852</v>
      </c>
      <c r="Q453" s="36">
        <f>(M453/1.21-P453)/(M453/1.21)</f>
        <v>9.0042156603088536E-2</v>
      </c>
    </row>
    <row r="454" spans="2:17" ht="15.6" hidden="1" customHeight="1" x14ac:dyDescent="0.25">
      <c r="B454" s="104"/>
      <c r="Q454" s="18"/>
    </row>
    <row r="455" spans="2:17" ht="15.6" hidden="1" customHeight="1" x14ac:dyDescent="0.3">
      <c r="B455" s="104"/>
      <c r="C455" s="107" t="s">
        <v>17</v>
      </c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9"/>
    </row>
    <row r="456" spans="2:17" ht="15.6" hidden="1" customHeight="1" x14ac:dyDescent="0.25">
      <c r="B456" s="104"/>
      <c r="C456" s="1" t="s">
        <v>1</v>
      </c>
      <c r="D456" s="32" t="s">
        <v>2</v>
      </c>
      <c r="E456" s="2" t="s">
        <v>3</v>
      </c>
      <c r="F456" s="2" t="s">
        <v>4</v>
      </c>
      <c r="G456" s="2" t="s">
        <v>5</v>
      </c>
      <c r="H456" s="2" t="s">
        <v>6</v>
      </c>
      <c r="I456" s="2" t="s">
        <v>7</v>
      </c>
      <c r="J456" s="2" t="s">
        <v>8</v>
      </c>
      <c r="K456" s="2" t="s">
        <v>9</v>
      </c>
      <c r="L456" s="2" t="s">
        <v>10</v>
      </c>
      <c r="M456" s="2" t="s">
        <v>11</v>
      </c>
      <c r="N456" s="2" t="s">
        <v>12</v>
      </c>
      <c r="O456" s="2" t="s">
        <v>13</v>
      </c>
      <c r="P456" s="2" t="s">
        <v>14</v>
      </c>
      <c r="Q456" s="3" t="s">
        <v>15</v>
      </c>
    </row>
    <row r="457" spans="2:17" ht="15.6" hidden="1" customHeight="1" x14ac:dyDescent="0.25">
      <c r="B457" s="104"/>
      <c r="C457" s="39">
        <v>30</v>
      </c>
      <c r="D457" s="32">
        <v>53.33</v>
      </c>
      <c r="E457" s="2">
        <v>1.4</v>
      </c>
      <c r="F457" s="2">
        <v>25</v>
      </c>
      <c r="G457" s="2">
        <v>1.23</v>
      </c>
      <c r="H457" s="2">
        <v>4.5</v>
      </c>
      <c r="I457" s="2">
        <v>1</v>
      </c>
      <c r="J457" s="2">
        <v>0</v>
      </c>
      <c r="K457" s="6">
        <v>0.18</v>
      </c>
      <c r="L457" s="2">
        <v>210</v>
      </c>
      <c r="M457" s="7">
        <f>(C457+H457)*E457*F457*G457*I457+J457+L457</f>
        <v>1695.2249999999999</v>
      </c>
      <c r="N457" s="8">
        <f>((M457/1.21)-L457)*0.18</f>
        <v>214.38223140495867</v>
      </c>
      <c r="O457" s="9">
        <v>0</v>
      </c>
      <c r="P457" s="8">
        <f>(1-O457)*C457*F457+(D457*5.22)+N457</f>
        <v>1242.7648314049586</v>
      </c>
      <c r="Q457" s="36">
        <f>(M457/1.21-P457)/(M457/1.21)</f>
        <v>0.11295229482812021</v>
      </c>
    </row>
    <row r="458" spans="2:17" ht="15.6" hidden="1" customHeight="1" x14ac:dyDescent="0.25">
      <c r="B458" s="104"/>
      <c r="C458" s="39">
        <v>60</v>
      </c>
      <c r="D458" s="32">
        <v>53.33</v>
      </c>
      <c r="E458" s="2">
        <v>1.39</v>
      </c>
      <c r="F458" s="2">
        <v>25</v>
      </c>
      <c r="G458" s="2">
        <v>1.23</v>
      </c>
      <c r="H458" s="2">
        <v>4.5</v>
      </c>
      <c r="I458" s="2">
        <v>1</v>
      </c>
      <c r="J458" s="2">
        <v>0</v>
      </c>
      <c r="K458" s="6">
        <v>0.18</v>
      </c>
      <c r="L458" s="2">
        <v>375</v>
      </c>
      <c r="M458" s="7">
        <f>(C458+H458)*E458*F458*G458*I458+J458+L458</f>
        <v>3131.8912499999992</v>
      </c>
      <c r="N458" s="8">
        <f>((M458/1.21)-L458)*0.18</f>
        <v>398.4011776859503</v>
      </c>
      <c r="O458" s="9">
        <v>0</v>
      </c>
      <c r="P458" s="8">
        <f t="shared" ref="P458:P461" si="106">(1-O458)*C458*F458+(D458*5.22)+N458</f>
        <v>2176.7837776859501</v>
      </c>
      <c r="Q458" s="36">
        <f>(M458/1.21-P458)/(M458/1.21)</f>
        <v>0.15900388591078951</v>
      </c>
    </row>
    <row r="459" spans="2:17" ht="15.6" hidden="1" customHeight="1" x14ac:dyDescent="0.25">
      <c r="B459" s="104"/>
      <c r="C459" s="39">
        <v>120</v>
      </c>
      <c r="D459" s="32">
        <v>53.33</v>
      </c>
      <c r="E459" s="2">
        <v>1.38</v>
      </c>
      <c r="F459" s="2">
        <v>25</v>
      </c>
      <c r="G459" s="2">
        <v>1.23</v>
      </c>
      <c r="H459" s="2">
        <v>4.5</v>
      </c>
      <c r="I459" s="2">
        <v>1</v>
      </c>
      <c r="J459" s="2">
        <v>0</v>
      </c>
      <c r="K459" s="6">
        <v>0.18</v>
      </c>
      <c r="L459" s="2">
        <v>690</v>
      </c>
      <c r="M459" s="7">
        <f>(C459+H459)*E459*F459*G459*I459+J459+L459</f>
        <v>5973.1574999999984</v>
      </c>
      <c r="N459" s="8">
        <f>((M459/1.21)-L459)*0.18</f>
        <v>764.36888429752037</v>
      </c>
      <c r="O459" s="9">
        <v>0</v>
      </c>
      <c r="P459" s="8">
        <f t="shared" si="106"/>
        <v>4042.7514842975202</v>
      </c>
      <c r="Q459" s="36">
        <f>(M459/1.21-P459)/(M459/1.21)</f>
        <v>0.18104799747872033</v>
      </c>
    </row>
    <row r="460" spans="2:17" ht="15.6" hidden="1" customHeight="1" x14ac:dyDescent="0.25">
      <c r="B460" s="104"/>
      <c r="C460" s="39">
        <v>350</v>
      </c>
      <c r="D460" s="32">
        <v>53.33</v>
      </c>
      <c r="E460" s="2">
        <v>1.37</v>
      </c>
      <c r="F460" s="2">
        <v>25</v>
      </c>
      <c r="G460" s="2">
        <v>1.23</v>
      </c>
      <c r="H460" s="2">
        <v>4.5</v>
      </c>
      <c r="I460" s="2">
        <v>1</v>
      </c>
      <c r="J460" s="2">
        <v>0</v>
      </c>
      <c r="K460" s="6">
        <v>0.18</v>
      </c>
      <c r="L460" s="2">
        <v>1430</v>
      </c>
      <c r="M460" s="7">
        <f>(C460+H460)*E460*F460*G460*I460+J460+L460</f>
        <v>16364.19875</v>
      </c>
      <c r="N460" s="8">
        <f>((M460/1.21)-L460)*0.18</f>
        <v>2176.9436157024793</v>
      </c>
      <c r="O460" s="9">
        <v>0</v>
      </c>
      <c r="P460" s="8">
        <f t="shared" si="106"/>
        <v>11205.32621570248</v>
      </c>
      <c r="Q460" s="36">
        <f>(M460/1.21-P460)/(M460/1.21)</f>
        <v>0.17145685357799748</v>
      </c>
    </row>
    <row r="461" spans="2:17" ht="15.6" hidden="1" customHeight="1" thickBot="1" x14ac:dyDescent="0.3">
      <c r="B461" s="105"/>
      <c r="C461" s="39">
        <v>500</v>
      </c>
      <c r="D461" s="32">
        <v>53.33</v>
      </c>
      <c r="E461" s="2">
        <v>1.36</v>
      </c>
      <c r="F461" s="2">
        <v>25</v>
      </c>
      <c r="G461" s="2">
        <v>1.23</v>
      </c>
      <c r="H461" s="2">
        <v>4.5</v>
      </c>
      <c r="I461" s="2">
        <v>1</v>
      </c>
      <c r="J461" s="2">
        <v>0</v>
      </c>
      <c r="K461" s="6">
        <v>0.18</v>
      </c>
      <c r="L461" s="2">
        <v>1430</v>
      </c>
      <c r="M461" s="7">
        <f>(C461+H461)*E461*F461*G461*I461+J461+L461</f>
        <v>22528.19</v>
      </c>
      <c r="N461" s="8">
        <f>((M461/1.21)-L461)*0.18</f>
        <v>3093.900991735537</v>
      </c>
      <c r="O461" s="9">
        <v>0</v>
      </c>
      <c r="P461" s="8">
        <f t="shared" si="106"/>
        <v>15872.283591735537</v>
      </c>
      <c r="Q461" s="36">
        <f>(M461/1.21-P461)/(M461/1.21)</f>
        <v>0.14749195803124879</v>
      </c>
    </row>
    <row r="462" spans="2:17" ht="15.6" hidden="1" customHeight="1" thickBot="1" x14ac:dyDescent="0.3"/>
    <row r="463" spans="2:17" ht="15.6" hidden="1" customHeight="1" x14ac:dyDescent="0.3">
      <c r="B463" s="103" t="s">
        <v>98</v>
      </c>
      <c r="C463" s="106" t="s">
        <v>16</v>
      </c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9"/>
    </row>
    <row r="464" spans="2:17" ht="15.6" hidden="1" customHeight="1" x14ac:dyDescent="0.25">
      <c r="B464" s="104"/>
      <c r="C464" s="1" t="s">
        <v>1</v>
      </c>
      <c r="D464" s="32" t="s">
        <v>2</v>
      </c>
      <c r="E464" s="2" t="s">
        <v>3</v>
      </c>
      <c r="F464" s="2" t="s">
        <v>4</v>
      </c>
      <c r="G464" s="2" t="s">
        <v>5</v>
      </c>
      <c r="H464" s="2" t="s">
        <v>6</v>
      </c>
      <c r="I464" s="2" t="s">
        <v>7</v>
      </c>
      <c r="J464" s="2" t="s">
        <v>8</v>
      </c>
      <c r="K464" s="2" t="s">
        <v>9</v>
      </c>
      <c r="L464" s="2" t="s">
        <v>10</v>
      </c>
      <c r="M464" s="2" t="s">
        <v>11</v>
      </c>
      <c r="N464" s="2" t="s">
        <v>12</v>
      </c>
      <c r="O464" s="2" t="s">
        <v>13</v>
      </c>
      <c r="P464" s="2" t="s">
        <v>14</v>
      </c>
      <c r="Q464" s="3" t="s">
        <v>15</v>
      </c>
    </row>
    <row r="465" spans="2:17" ht="15.6" hidden="1" customHeight="1" x14ac:dyDescent="0.25">
      <c r="B465" s="104"/>
      <c r="C465" s="39">
        <v>30</v>
      </c>
      <c r="D465" s="32">
        <v>78.86</v>
      </c>
      <c r="E465" s="2">
        <v>1.4</v>
      </c>
      <c r="F465" s="2">
        <v>25</v>
      </c>
      <c r="G465" s="2">
        <v>1.23</v>
      </c>
      <c r="H465" s="2">
        <v>6.5</v>
      </c>
      <c r="I465" s="2">
        <v>1</v>
      </c>
      <c r="J465" s="2">
        <v>0</v>
      </c>
      <c r="K465" s="6">
        <v>0.18</v>
      </c>
      <c r="L465" s="2">
        <v>210</v>
      </c>
      <c r="M465" s="7">
        <f>(C465+H465)*E465*F465*G465*I465+J465+L465</f>
        <v>1781.3249999999996</v>
      </c>
      <c r="N465" s="8">
        <f>((M465/1.21)-L465)*0.18</f>
        <v>227.1904958677685</v>
      </c>
      <c r="O465" s="9">
        <v>0</v>
      </c>
      <c r="P465" s="8">
        <f>(1-O465)*C465*F465+(D465*5.22)+N465</f>
        <v>1388.8396958677683</v>
      </c>
      <c r="Q465" s="36">
        <f>(M465/1.21-P465)/(M465/1.21)</f>
        <v>5.6603353121973725E-2</v>
      </c>
    </row>
    <row r="466" spans="2:17" ht="15.6" hidden="1" customHeight="1" x14ac:dyDescent="0.25">
      <c r="B466" s="104"/>
      <c r="C466" s="39">
        <v>60</v>
      </c>
      <c r="D466" s="32">
        <v>78.86</v>
      </c>
      <c r="E466" s="2">
        <v>1.39</v>
      </c>
      <c r="F466" s="2">
        <v>25</v>
      </c>
      <c r="G466" s="2">
        <v>1.23</v>
      </c>
      <c r="H466" s="2">
        <v>6.5</v>
      </c>
      <c r="I466" s="2">
        <v>1</v>
      </c>
      <c r="J466" s="2">
        <v>0</v>
      </c>
      <c r="K466" s="6">
        <v>0.18</v>
      </c>
      <c r="L466" s="2">
        <v>270</v>
      </c>
      <c r="M466" s="7">
        <f>(C466+H466)*E466*F466*G466*I466+J466+L466</f>
        <v>3112.3762499999993</v>
      </c>
      <c r="N466" s="8">
        <f>((M466/1.21)-L466)*0.18</f>
        <v>414.3981198347106</v>
      </c>
      <c r="O466" s="9">
        <v>0</v>
      </c>
      <c r="P466" s="8">
        <f t="shared" ref="P466:P469" si="107">(1-O466)*C466*F466+(D466*5.22)+N466</f>
        <v>2326.0473198347104</v>
      </c>
      <c r="Q466" s="36">
        <f>(M466/1.21-P466)/(M466/1.21)</f>
        <v>9.5701473432076134E-2</v>
      </c>
    </row>
    <row r="467" spans="2:17" ht="15.6" hidden="1" customHeight="1" x14ac:dyDescent="0.25">
      <c r="B467" s="104"/>
      <c r="C467" s="39">
        <v>120</v>
      </c>
      <c r="D467" s="32">
        <v>78.86</v>
      </c>
      <c r="E467" s="2">
        <v>1.38</v>
      </c>
      <c r="F467" s="2">
        <v>25</v>
      </c>
      <c r="G467" s="2">
        <v>1.23</v>
      </c>
      <c r="H467" s="2">
        <v>6.5</v>
      </c>
      <c r="I467" s="2">
        <v>1</v>
      </c>
      <c r="J467" s="2">
        <v>0</v>
      </c>
      <c r="K467" s="6">
        <v>0.18</v>
      </c>
      <c r="L467" s="2">
        <v>620</v>
      </c>
      <c r="M467" s="7">
        <f>(C467+H467)*E467*F467*G467*I467+J467+L467</f>
        <v>5988.0275000000001</v>
      </c>
      <c r="N467" s="8">
        <f>((M467/1.21)-L467)*0.18</f>
        <v>779.18095041322317</v>
      </c>
      <c r="O467" s="9">
        <v>0</v>
      </c>
      <c r="P467" s="8">
        <f t="shared" si="107"/>
        <v>4190.8301504132232</v>
      </c>
      <c r="Q467" s="36">
        <f>(M467/1.21-P467)/(M467/1.21)</f>
        <v>0.15315945325902403</v>
      </c>
    </row>
    <row r="468" spans="2:17" ht="15.6" hidden="1" customHeight="1" x14ac:dyDescent="0.25">
      <c r="B468" s="104"/>
      <c r="C468" s="39">
        <v>350</v>
      </c>
      <c r="D468" s="32">
        <v>78.86</v>
      </c>
      <c r="E468" s="2">
        <v>1.37</v>
      </c>
      <c r="F468" s="2">
        <v>25</v>
      </c>
      <c r="G468" s="2">
        <v>1.23</v>
      </c>
      <c r="H468" s="2">
        <v>6.5</v>
      </c>
      <c r="I468" s="2">
        <v>1</v>
      </c>
      <c r="J468" s="2">
        <v>0</v>
      </c>
      <c r="K468" s="6">
        <v>0.18</v>
      </c>
      <c r="L468" s="2">
        <v>920</v>
      </c>
      <c r="M468" s="7">
        <f>(C468+H468)*E468*F468*G468*I468+J468+L468</f>
        <v>15938.453750000001</v>
      </c>
      <c r="N468" s="8">
        <f>((M468/1.21)-L468)*0.18</f>
        <v>2205.409648760331</v>
      </c>
      <c r="O468" s="9">
        <v>0</v>
      </c>
      <c r="P468" s="8">
        <f t="shared" si="107"/>
        <v>11367.058848760331</v>
      </c>
      <c r="Q468" s="36">
        <f>(M468/1.21-P468)/(M468/1.21)</f>
        <v>0.13704670335414446</v>
      </c>
    </row>
    <row r="469" spans="2:17" ht="15.6" hidden="1" customHeight="1" x14ac:dyDescent="0.25">
      <c r="B469" s="104"/>
      <c r="C469" s="39">
        <v>500</v>
      </c>
      <c r="D469" s="32">
        <v>78.86</v>
      </c>
      <c r="E469" s="2">
        <v>1.36</v>
      </c>
      <c r="F469" s="2">
        <v>25</v>
      </c>
      <c r="G469" s="2">
        <v>1.23</v>
      </c>
      <c r="H469" s="2">
        <v>6.5</v>
      </c>
      <c r="I469" s="2">
        <v>1</v>
      </c>
      <c r="J469" s="2">
        <v>0</v>
      </c>
      <c r="K469" s="6">
        <v>0.18</v>
      </c>
      <c r="L469" s="2">
        <v>920</v>
      </c>
      <c r="M469" s="7">
        <f>(C469+H469)*E469*F469*G469*I469+J469+L469</f>
        <v>22101.829999999998</v>
      </c>
      <c r="N469" s="8">
        <f>((M469/1.21)-L469)*0.18</f>
        <v>3122.2755371900821</v>
      </c>
      <c r="O469" s="9">
        <v>0</v>
      </c>
      <c r="P469" s="8">
        <f t="shared" si="107"/>
        <v>16033.924737190082</v>
      </c>
      <c r="Q469" s="36">
        <f>(M469/1.21-P469)/(M469/1.21)</f>
        <v>0.1221971695556431</v>
      </c>
    </row>
    <row r="470" spans="2:17" ht="15.6" hidden="1" customHeight="1" x14ac:dyDescent="0.25">
      <c r="B470" s="104"/>
      <c r="Q470" s="18"/>
    </row>
    <row r="471" spans="2:17" ht="15.6" hidden="1" customHeight="1" x14ac:dyDescent="0.3">
      <c r="B471" s="104"/>
      <c r="C471" s="107" t="s">
        <v>17</v>
      </c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9"/>
    </row>
    <row r="472" spans="2:17" ht="15.6" hidden="1" customHeight="1" x14ac:dyDescent="0.25">
      <c r="B472" s="104"/>
      <c r="C472" s="1" t="s">
        <v>1</v>
      </c>
      <c r="D472" s="32" t="s">
        <v>2</v>
      </c>
      <c r="E472" s="2" t="s">
        <v>3</v>
      </c>
      <c r="F472" s="2" t="s">
        <v>4</v>
      </c>
      <c r="G472" s="2" t="s">
        <v>5</v>
      </c>
      <c r="H472" s="2" t="s">
        <v>6</v>
      </c>
      <c r="I472" s="2" t="s">
        <v>7</v>
      </c>
      <c r="J472" s="2" t="s">
        <v>8</v>
      </c>
      <c r="K472" s="2" t="s">
        <v>9</v>
      </c>
      <c r="L472" s="2" t="s">
        <v>10</v>
      </c>
      <c r="M472" s="2" t="s">
        <v>11</v>
      </c>
      <c r="N472" s="2" t="s">
        <v>12</v>
      </c>
      <c r="O472" s="2" t="s">
        <v>13</v>
      </c>
      <c r="P472" s="2" t="s">
        <v>14</v>
      </c>
      <c r="Q472" s="3" t="s">
        <v>15</v>
      </c>
    </row>
    <row r="473" spans="2:17" ht="15.6" hidden="1" customHeight="1" x14ac:dyDescent="0.25">
      <c r="B473" s="104"/>
      <c r="C473" s="39">
        <v>30</v>
      </c>
      <c r="D473" s="32">
        <v>78.86</v>
      </c>
      <c r="E473" s="2">
        <v>1.4</v>
      </c>
      <c r="F473" s="2">
        <v>25</v>
      </c>
      <c r="G473" s="2">
        <v>1.23</v>
      </c>
      <c r="H473" s="2">
        <v>4.5</v>
      </c>
      <c r="I473" s="2">
        <v>1</v>
      </c>
      <c r="J473" s="2">
        <v>0</v>
      </c>
      <c r="K473" s="6">
        <v>0.18</v>
      </c>
      <c r="L473" s="2">
        <f>210+360</f>
        <v>570</v>
      </c>
      <c r="M473" s="7">
        <f>(C473+H473)*E473*F473*G473*I473+J473+L473</f>
        <v>2055.2249999999999</v>
      </c>
      <c r="N473" s="8">
        <f>((M473/1.21)-L473)*0.18</f>
        <v>203.13595041322313</v>
      </c>
      <c r="O473" s="9">
        <v>0</v>
      </c>
      <c r="P473" s="8">
        <f>(1-O473)*C473*F473+(D473*5.22)+N473</f>
        <v>1364.7851504132229</v>
      </c>
      <c r="Q473" s="36">
        <f>(M473/1.21-P473)/(M473/1.21)</f>
        <v>0.1964918527168559</v>
      </c>
    </row>
    <row r="474" spans="2:17" ht="15.6" hidden="1" customHeight="1" x14ac:dyDescent="0.25">
      <c r="B474" s="104"/>
      <c r="C474" s="39">
        <v>60</v>
      </c>
      <c r="D474" s="32">
        <v>78.86</v>
      </c>
      <c r="E474" s="2">
        <v>1.39</v>
      </c>
      <c r="F474" s="2">
        <v>25</v>
      </c>
      <c r="G474" s="2">
        <v>1.23</v>
      </c>
      <c r="H474" s="2">
        <v>4.5</v>
      </c>
      <c r="I474" s="2">
        <v>1</v>
      </c>
      <c r="J474" s="2">
        <v>0</v>
      </c>
      <c r="K474" s="6">
        <v>0.18</v>
      </c>
      <c r="L474" s="2">
        <f>375+420</f>
        <v>795</v>
      </c>
      <c r="M474" s="7">
        <f>(C474+H474)*E474*F474*G474*I474+J474+L474</f>
        <v>3551.8912499999992</v>
      </c>
      <c r="N474" s="8">
        <f>((M474/1.21)-L474)*0.18</f>
        <v>385.28051652892549</v>
      </c>
      <c r="O474" s="9">
        <v>0</v>
      </c>
      <c r="P474" s="8">
        <f t="shared" ref="P474:P477" si="108">(1-O474)*C474*F474+(D474*5.22)+N474</f>
        <v>2296.9297165289254</v>
      </c>
      <c r="Q474" s="36">
        <f>(M474/1.21-P474)/(M474/1.21)</f>
        <v>0.2175196926426167</v>
      </c>
    </row>
    <row r="475" spans="2:17" ht="15.6" hidden="1" customHeight="1" x14ac:dyDescent="0.25">
      <c r="B475" s="104"/>
      <c r="C475" s="39">
        <v>120</v>
      </c>
      <c r="D475" s="32">
        <v>78.86</v>
      </c>
      <c r="E475" s="2">
        <v>1.38</v>
      </c>
      <c r="F475" s="2">
        <v>25</v>
      </c>
      <c r="G475" s="2">
        <v>1.23</v>
      </c>
      <c r="H475" s="2">
        <v>4.5</v>
      </c>
      <c r="I475" s="2">
        <v>1</v>
      </c>
      <c r="J475" s="2">
        <v>0</v>
      </c>
      <c r="K475" s="6">
        <v>0.18</v>
      </c>
      <c r="L475" s="2">
        <f>690+780</f>
        <v>1470</v>
      </c>
      <c r="M475" s="7">
        <f>(C475+H475)*E475*F475*G475*I475+J475+L475</f>
        <v>6753.1574999999984</v>
      </c>
      <c r="N475" s="8">
        <f>((M475/1.21)-L475)*0.18</f>
        <v>740.00194214876012</v>
      </c>
      <c r="O475" s="9">
        <v>0</v>
      </c>
      <c r="P475" s="8">
        <f t="shared" si="108"/>
        <v>4151.6511421487603</v>
      </c>
      <c r="Q475" s="36">
        <f>(M475/1.21-P475)/(M475/1.21)</f>
        <v>0.25612605925450416</v>
      </c>
    </row>
    <row r="476" spans="2:17" ht="15.6" hidden="1" customHeight="1" x14ac:dyDescent="0.25">
      <c r="B476" s="104"/>
      <c r="C476" s="39">
        <v>350</v>
      </c>
      <c r="D476" s="32">
        <v>78.86</v>
      </c>
      <c r="E476" s="2">
        <v>1.37</v>
      </c>
      <c r="F476" s="2">
        <v>25</v>
      </c>
      <c r="G476" s="2">
        <v>1.23</v>
      </c>
      <c r="H476" s="2">
        <v>4.5</v>
      </c>
      <c r="I476" s="2">
        <v>1</v>
      </c>
      <c r="J476" s="2">
        <v>0</v>
      </c>
      <c r="K476" s="6">
        <v>0.18</v>
      </c>
      <c r="L476" s="2">
        <f>1430+1080</f>
        <v>2510</v>
      </c>
      <c r="M476" s="7">
        <f>(C476+H476)*E476*F476*G476*I476+J476+L476</f>
        <v>17444.19875</v>
      </c>
      <c r="N476" s="8">
        <f>((M476/1.21)-L476)*0.18</f>
        <v>2143.2047727272725</v>
      </c>
      <c r="O476" s="9">
        <v>0</v>
      </c>
      <c r="P476" s="8">
        <f t="shared" si="108"/>
        <v>11304.853972727273</v>
      </c>
      <c r="Q476" s="36">
        <f>(M476/1.21-P476)/(M476/1.21)</f>
        <v>0.21584972155857832</v>
      </c>
    </row>
    <row r="477" spans="2:17" ht="15.6" hidden="1" customHeight="1" thickBot="1" x14ac:dyDescent="0.3">
      <c r="B477" s="105"/>
      <c r="C477" s="39">
        <v>500</v>
      </c>
      <c r="D477" s="32">
        <v>78.86</v>
      </c>
      <c r="E477" s="2">
        <v>1.36</v>
      </c>
      <c r="F477" s="2">
        <v>25</v>
      </c>
      <c r="G477" s="2">
        <v>1.23</v>
      </c>
      <c r="H477" s="2">
        <v>4.5</v>
      </c>
      <c r="I477" s="2">
        <v>1</v>
      </c>
      <c r="J477" s="2">
        <v>0</v>
      </c>
      <c r="K477" s="6">
        <v>0.18</v>
      </c>
      <c r="L477" s="2">
        <f>1430+1080</f>
        <v>2510</v>
      </c>
      <c r="M477" s="7">
        <f>(C477+H477)*E477*F477*G477*I477+J477+L477</f>
        <v>23608.19</v>
      </c>
      <c r="N477" s="8">
        <f>((M477/1.21)-L477)*0.18</f>
        <v>3060.1621487603302</v>
      </c>
      <c r="O477" s="9">
        <v>0</v>
      </c>
      <c r="P477" s="8">
        <f t="shared" si="108"/>
        <v>15971.81134876033</v>
      </c>
      <c r="Q477" s="36">
        <f>(M477/1.21-P477)/(M477/1.21)</f>
        <v>0.18139036783421345</v>
      </c>
    </row>
    <row r="478" spans="2:17" ht="15.6" hidden="1" customHeight="1" x14ac:dyDescent="0.25">
      <c r="D478"/>
    </row>
    <row r="479" spans="2:17" ht="15.6" customHeight="1" thickBot="1" x14ac:dyDescent="0.3"/>
    <row r="480" spans="2:17" ht="15.6" customHeight="1" x14ac:dyDescent="0.3">
      <c r="B480" s="103" t="s">
        <v>26</v>
      </c>
      <c r="C480" s="97" t="s">
        <v>16</v>
      </c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9"/>
    </row>
    <row r="481" spans="2:17" ht="15.6" customHeight="1" x14ac:dyDescent="0.25">
      <c r="B481" s="104"/>
      <c r="C481" s="77" t="s">
        <v>1</v>
      </c>
      <c r="D481" s="3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2" t="s">
        <v>8</v>
      </c>
      <c r="K481" s="2" t="s">
        <v>9</v>
      </c>
      <c r="L481" s="2" t="s">
        <v>10</v>
      </c>
      <c r="M481" s="2" t="s">
        <v>11</v>
      </c>
      <c r="N481" s="2" t="s">
        <v>12</v>
      </c>
      <c r="O481" s="2" t="s">
        <v>13</v>
      </c>
      <c r="P481" s="2" t="s">
        <v>14</v>
      </c>
      <c r="Q481" s="3" t="s">
        <v>15</v>
      </c>
    </row>
    <row r="482" spans="2:17" ht="15.6" customHeight="1" x14ac:dyDescent="0.25">
      <c r="B482" s="104"/>
      <c r="C482" s="78">
        <v>20</v>
      </c>
      <c r="D482" s="32">
        <v>0</v>
      </c>
      <c r="E482" s="2">
        <v>1.34</v>
      </c>
      <c r="F482" s="2">
        <v>25</v>
      </c>
      <c r="G482" s="2">
        <v>1.23</v>
      </c>
      <c r="H482" s="2">
        <v>0</v>
      </c>
      <c r="I482" s="2">
        <v>1</v>
      </c>
      <c r="J482" s="2">
        <v>0</v>
      </c>
      <c r="K482" s="6">
        <v>0.18</v>
      </c>
      <c r="L482" s="2">
        <v>0</v>
      </c>
      <c r="M482" s="7">
        <f>(C482+H482)*E482*F482*G482*I482+J482+L482</f>
        <v>824.1</v>
      </c>
      <c r="N482" s="8">
        <f>((M482/1.21)-L482)*0.18</f>
        <v>122.59338842975207</v>
      </c>
      <c r="O482" s="9">
        <v>0</v>
      </c>
      <c r="P482" s="8">
        <f>(1-O482)*C482*F482+D482+N482</f>
        <v>622.59338842975205</v>
      </c>
      <c r="Q482" s="36">
        <f>(M482/1.21-P482)/(M482/1.21)</f>
        <v>8.5865792986288172E-2</v>
      </c>
    </row>
    <row r="483" spans="2:17" ht="15.6" customHeight="1" x14ac:dyDescent="0.25">
      <c r="B483" s="104"/>
      <c r="C483" s="78">
        <v>50</v>
      </c>
      <c r="D483" s="32">
        <v>0</v>
      </c>
      <c r="E483" s="2">
        <v>1.34</v>
      </c>
      <c r="F483" s="2">
        <v>25</v>
      </c>
      <c r="G483" s="2">
        <v>1.23</v>
      </c>
      <c r="H483" s="2">
        <v>0</v>
      </c>
      <c r="I483" s="2">
        <v>1</v>
      </c>
      <c r="J483" s="2">
        <v>0</v>
      </c>
      <c r="K483" s="6">
        <v>0.18</v>
      </c>
      <c r="L483" s="2">
        <v>0</v>
      </c>
      <c r="M483" s="7">
        <f>(C483+H483)*E483*F483*G483*I483+J483+L483</f>
        <v>2060.25</v>
      </c>
      <c r="N483" s="8">
        <f>((M483/1.21)-L483)*0.18</f>
        <v>306.48347107438019</v>
      </c>
      <c r="O483" s="9">
        <v>0</v>
      </c>
      <c r="P483" s="8">
        <f>(1-O483)*C483*F483+D483+N483</f>
        <v>1556.4834710743803</v>
      </c>
      <c r="Q483" s="36">
        <f>(M483/1.21-P483)/(M483/1.21)</f>
        <v>8.5865792986288061E-2</v>
      </c>
    </row>
    <row r="484" spans="2:17" ht="15.6" customHeight="1" x14ac:dyDescent="0.25">
      <c r="B484" s="104"/>
      <c r="C484" s="78">
        <v>100</v>
      </c>
      <c r="D484" s="32">
        <v>0</v>
      </c>
      <c r="E484" s="2">
        <v>1.34</v>
      </c>
      <c r="F484" s="2">
        <v>25</v>
      </c>
      <c r="G484" s="2">
        <v>1.23</v>
      </c>
      <c r="H484" s="2">
        <v>0</v>
      </c>
      <c r="I484" s="2">
        <v>1</v>
      </c>
      <c r="J484" s="2">
        <v>0</v>
      </c>
      <c r="K484" s="6">
        <v>0.18</v>
      </c>
      <c r="L484" s="2">
        <v>0</v>
      </c>
      <c r="M484" s="7">
        <f>(C484+H484)*E484*F484*G484*I484+J484+L484</f>
        <v>4120.5</v>
      </c>
      <c r="N484" s="8">
        <f>((M484/1.21)-L484)*0.18</f>
        <v>612.96694214876038</v>
      </c>
      <c r="O484" s="9">
        <v>0</v>
      </c>
      <c r="P484" s="8">
        <f>(1-O484)*C484*F484+D484+N484</f>
        <v>3112.9669421487606</v>
      </c>
      <c r="Q484" s="36">
        <f>(M484/1.21-P484)/(M484/1.21)</f>
        <v>8.5865792986288061E-2</v>
      </c>
    </row>
    <row r="485" spans="2:17" ht="15.6" customHeight="1" x14ac:dyDescent="0.25">
      <c r="B485" s="104"/>
      <c r="C485" s="78">
        <v>450</v>
      </c>
      <c r="D485" s="32">
        <v>0</v>
      </c>
      <c r="E485" s="2">
        <v>1.34</v>
      </c>
      <c r="F485" s="2">
        <v>25</v>
      </c>
      <c r="G485" s="2">
        <v>1.23</v>
      </c>
      <c r="H485" s="2">
        <v>0</v>
      </c>
      <c r="I485" s="2">
        <v>1</v>
      </c>
      <c r="J485" s="2">
        <v>0</v>
      </c>
      <c r="K485" s="6">
        <v>0.18</v>
      </c>
      <c r="L485" s="2">
        <v>0</v>
      </c>
      <c r="M485" s="7">
        <f>(C485+H485)*E485*F485*G485*I485+J485+L485</f>
        <v>18542.25</v>
      </c>
      <c r="N485" s="8">
        <f>((M485/1.21)-L485)*0.18</f>
        <v>2758.3512396694214</v>
      </c>
      <c r="O485" s="9">
        <v>0</v>
      </c>
      <c r="P485" s="8">
        <f>(1-O485)*C485*F485+D485+N485</f>
        <v>14008.35123966942</v>
      </c>
      <c r="Q485" s="36">
        <f>(M485/1.21-P485)/(M485/1.21)</f>
        <v>8.5865792986288172E-2</v>
      </c>
    </row>
    <row r="486" spans="2:17" ht="15.6" customHeight="1" x14ac:dyDescent="0.25">
      <c r="B486" s="104"/>
      <c r="C486" s="78">
        <v>500</v>
      </c>
      <c r="D486" s="32">
        <v>0</v>
      </c>
      <c r="E486" s="2">
        <v>1.34</v>
      </c>
      <c r="F486" s="2">
        <v>25</v>
      </c>
      <c r="G486" s="2">
        <v>1.23</v>
      </c>
      <c r="H486" s="2">
        <v>0</v>
      </c>
      <c r="I486" s="2">
        <v>1</v>
      </c>
      <c r="J486" s="2">
        <v>0</v>
      </c>
      <c r="K486" s="6">
        <v>0.18</v>
      </c>
      <c r="L486" s="2">
        <v>0</v>
      </c>
      <c r="M486" s="7">
        <f>(C486+H486)*E486*F486*G486*I486+J486+L486</f>
        <v>20602.5</v>
      </c>
      <c r="N486" s="8">
        <f>((M486/1.21)-L486)*0.18</f>
        <v>3064.8347107438017</v>
      </c>
      <c r="O486" s="9">
        <v>0</v>
      </c>
      <c r="P486" s="8">
        <f>(1-O486)*C486*F486+D486+N486</f>
        <v>15564.834710743802</v>
      </c>
      <c r="Q486" s="36">
        <f>(M486/1.21-P486)/(M486/1.21)</f>
        <v>8.5865792986288145E-2</v>
      </c>
    </row>
    <row r="487" spans="2:17" ht="15.6" customHeight="1" x14ac:dyDescent="0.25">
      <c r="B487" s="104"/>
      <c r="C487" s="28"/>
      <c r="Q487" s="18"/>
    </row>
    <row r="488" spans="2:17" ht="15.6" customHeight="1" x14ac:dyDescent="0.25">
      <c r="B488" s="104"/>
      <c r="C488" s="28"/>
      <c r="Q488" s="18"/>
    </row>
    <row r="489" spans="2:17" ht="15.6" customHeight="1" x14ac:dyDescent="0.3">
      <c r="B489" s="104"/>
      <c r="C489" s="121" t="s">
        <v>17</v>
      </c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9"/>
    </row>
    <row r="490" spans="2:17" ht="15.6" customHeight="1" x14ac:dyDescent="0.25">
      <c r="B490" s="104"/>
      <c r="C490" s="77" t="s">
        <v>1</v>
      </c>
      <c r="D490" s="32" t="s">
        <v>2</v>
      </c>
      <c r="E490" s="2" t="s">
        <v>3</v>
      </c>
      <c r="F490" s="2" t="s">
        <v>4</v>
      </c>
      <c r="G490" s="2" t="s">
        <v>5</v>
      </c>
      <c r="H490" s="2" t="s">
        <v>6</v>
      </c>
      <c r="I490" s="2" t="s">
        <v>7</v>
      </c>
      <c r="J490" s="2" t="s">
        <v>8</v>
      </c>
      <c r="K490" s="2" t="s">
        <v>9</v>
      </c>
      <c r="L490" s="2" t="s">
        <v>10</v>
      </c>
      <c r="M490" s="2" t="s">
        <v>11</v>
      </c>
      <c r="N490" s="2" t="s">
        <v>12</v>
      </c>
      <c r="O490" s="2" t="s">
        <v>13</v>
      </c>
      <c r="P490" s="2" t="s">
        <v>14</v>
      </c>
      <c r="Q490" s="3" t="s">
        <v>15</v>
      </c>
    </row>
    <row r="491" spans="2:17" ht="15.6" customHeight="1" x14ac:dyDescent="0.25">
      <c r="B491" s="104"/>
      <c r="C491" s="78">
        <v>20</v>
      </c>
      <c r="D491" s="32">
        <v>0</v>
      </c>
      <c r="E491" s="2">
        <v>1.34</v>
      </c>
      <c r="F491" s="2">
        <v>25</v>
      </c>
      <c r="G491" s="2">
        <v>1.23</v>
      </c>
      <c r="H491" s="2">
        <v>0</v>
      </c>
      <c r="I491" s="2">
        <v>1</v>
      </c>
      <c r="J491" s="2">
        <v>0</v>
      </c>
      <c r="K491" s="6">
        <v>0.18</v>
      </c>
      <c r="L491" s="2">
        <v>0</v>
      </c>
      <c r="M491" s="7">
        <f>(C491+H491)*E491*F491*G491*I491+J491+L491</f>
        <v>824.1</v>
      </c>
      <c r="N491" s="8">
        <f>((M491/1.21)-L491)*0.18</f>
        <v>122.59338842975207</v>
      </c>
      <c r="O491" s="9">
        <v>0</v>
      </c>
      <c r="P491" s="8">
        <f>(1-O491)*C491*F491+D491+N491</f>
        <v>622.59338842975205</v>
      </c>
      <c r="Q491" s="36">
        <f>(M491/1.21-P491)/(M491/1.21)</f>
        <v>8.5865792986288172E-2</v>
      </c>
    </row>
    <row r="492" spans="2:17" ht="15.6" customHeight="1" x14ac:dyDescent="0.25">
      <c r="B492" s="104"/>
      <c r="C492" s="78">
        <v>50</v>
      </c>
      <c r="D492" s="32">
        <v>0</v>
      </c>
      <c r="E492" s="2">
        <v>1.34</v>
      </c>
      <c r="F492" s="2">
        <v>25</v>
      </c>
      <c r="G492" s="2">
        <v>1.23</v>
      </c>
      <c r="H492" s="2">
        <v>0</v>
      </c>
      <c r="I492" s="2">
        <v>1</v>
      </c>
      <c r="J492" s="2">
        <v>0</v>
      </c>
      <c r="K492" s="6">
        <v>0.18</v>
      </c>
      <c r="L492" s="2">
        <v>0</v>
      </c>
      <c r="M492" s="7">
        <f>(C492+H492)*E492*F492*G492*I492+J492+L492</f>
        <v>2060.25</v>
      </c>
      <c r="N492" s="8">
        <f>((M492/1.21)-L492)*0.18</f>
        <v>306.48347107438019</v>
      </c>
      <c r="O492" s="9">
        <v>0</v>
      </c>
      <c r="P492" s="8">
        <f>(1-O492)*C492*F492+D492+N492</f>
        <v>1556.4834710743803</v>
      </c>
      <c r="Q492" s="36">
        <f>(M492/1.21-P492)/(M492/1.21)</f>
        <v>8.5865792986288061E-2</v>
      </c>
    </row>
    <row r="493" spans="2:17" ht="15.6" customHeight="1" x14ac:dyDescent="0.25">
      <c r="B493" s="104"/>
      <c r="C493" s="78">
        <v>100</v>
      </c>
      <c r="D493" s="32">
        <v>0</v>
      </c>
      <c r="E493" s="2">
        <v>1.34</v>
      </c>
      <c r="F493" s="2">
        <v>25</v>
      </c>
      <c r="G493" s="2">
        <v>1.23</v>
      </c>
      <c r="H493" s="2">
        <v>0</v>
      </c>
      <c r="I493" s="2">
        <v>1</v>
      </c>
      <c r="J493" s="2">
        <v>0</v>
      </c>
      <c r="K493" s="6">
        <v>0.18</v>
      </c>
      <c r="L493" s="2">
        <v>0</v>
      </c>
      <c r="M493" s="7">
        <f>(C493+H493)*E493*F493*G493*I493+J493+L493</f>
        <v>4120.5</v>
      </c>
      <c r="N493" s="8">
        <f>((M493/1.21)-L493)*0.18</f>
        <v>612.96694214876038</v>
      </c>
      <c r="O493" s="9">
        <v>0</v>
      </c>
      <c r="P493" s="8">
        <f>(1-O493)*C493*F493+D493+N493</f>
        <v>3112.9669421487606</v>
      </c>
      <c r="Q493" s="36">
        <f>(M493/1.21-P493)/(M493/1.21)</f>
        <v>8.5865792986288061E-2</v>
      </c>
    </row>
    <row r="494" spans="2:17" ht="15.6" customHeight="1" x14ac:dyDescent="0.25">
      <c r="B494" s="104"/>
      <c r="C494" s="78">
        <v>450</v>
      </c>
      <c r="D494" s="32">
        <v>0</v>
      </c>
      <c r="E494" s="2">
        <v>1.34</v>
      </c>
      <c r="F494" s="2">
        <v>25</v>
      </c>
      <c r="G494" s="2">
        <v>1.23</v>
      </c>
      <c r="H494" s="2">
        <v>0</v>
      </c>
      <c r="I494" s="2">
        <v>1</v>
      </c>
      <c r="J494" s="2">
        <v>0</v>
      </c>
      <c r="K494" s="6">
        <v>0.18</v>
      </c>
      <c r="L494" s="2">
        <v>0</v>
      </c>
      <c r="M494" s="7">
        <f>(C494+H494)*E494*F494*G494*I494+J494+L494</f>
        <v>18542.25</v>
      </c>
      <c r="N494" s="8">
        <f>((M494/1.21)-L494)*0.18</f>
        <v>2758.3512396694214</v>
      </c>
      <c r="O494" s="9">
        <v>0</v>
      </c>
      <c r="P494" s="8">
        <f>(1-O494)*C494*F494+D494+N494</f>
        <v>14008.35123966942</v>
      </c>
      <c r="Q494" s="36">
        <f>(M494/1.21-P494)/(M494/1.21)</f>
        <v>8.5865792986288172E-2</v>
      </c>
    </row>
    <row r="495" spans="2:17" ht="15.6" customHeight="1" thickBot="1" x14ac:dyDescent="0.3">
      <c r="B495" s="105"/>
      <c r="C495" s="79">
        <v>500</v>
      </c>
      <c r="D495" s="76">
        <v>0</v>
      </c>
      <c r="E495" s="54">
        <v>1.34</v>
      </c>
      <c r="F495" s="54">
        <v>25</v>
      </c>
      <c r="G495" s="54">
        <v>1.23</v>
      </c>
      <c r="H495" s="54">
        <v>0</v>
      </c>
      <c r="I495" s="54">
        <v>1</v>
      </c>
      <c r="J495" s="54">
        <v>0</v>
      </c>
      <c r="K495" s="55">
        <v>0.18</v>
      </c>
      <c r="L495" s="54">
        <v>0</v>
      </c>
      <c r="M495" s="56">
        <f>(C495+H495)*E495*F495*G495*I495+J495+L495</f>
        <v>20602.5</v>
      </c>
      <c r="N495" s="57">
        <f>((M495/1.21)-L495)*0.18</f>
        <v>3064.8347107438017</v>
      </c>
      <c r="O495" s="58">
        <v>0</v>
      </c>
      <c r="P495" s="57">
        <f>(1-O495)*C495*F495+D495+N495</f>
        <v>15564.834710743802</v>
      </c>
      <c r="Q495" s="59">
        <f>(M495/1.21-P495)/(M495/1.21)</f>
        <v>8.5865792986288145E-2</v>
      </c>
    </row>
    <row r="497" spans="2:17" ht="15.6" customHeight="1" thickBot="1" x14ac:dyDescent="0.3"/>
    <row r="498" spans="2:17" ht="15.6" customHeight="1" x14ac:dyDescent="0.3">
      <c r="B498" s="103" t="s">
        <v>29</v>
      </c>
      <c r="C498" s="106" t="s">
        <v>16</v>
      </c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9"/>
    </row>
    <row r="499" spans="2:17" ht="15.6" customHeight="1" x14ac:dyDescent="0.25">
      <c r="B499" s="104"/>
      <c r="C499" s="1" t="s">
        <v>19</v>
      </c>
      <c r="D499" s="3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2" t="s">
        <v>8</v>
      </c>
      <c r="K499" s="2" t="s">
        <v>9</v>
      </c>
      <c r="L499" s="2" t="s">
        <v>10</v>
      </c>
      <c r="M499" s="2" t="s">
        <v>11</v>
      </c>
      <c r="N499" s="2" t="s">
        <v>12</v>
      </c>
      <c r="O499" s="2" t="s">
        <v>13</v>
      </c>
      <c r="P499" s="2" t="s">
        <v>14</v>
      </c>
      <c r="Q499" s="3" t="s">
        <v>15</v>
      </c>
    </row>
    <row r="500" spans="2:17" ht="15.6" customHeight="1" x14ac:dyDescent="0.25">
      <c r="B500" s="104"/>
      <c r="C500" s="35">
        <v>21</v>
      </c>
      <c r="D500" s="32">
        <v>140</v>
      </c>
      <c r="E500" s="2">
        <v>1.22</v>
      </c>
      <c r="F500" s="2">
        <v>5.35</v>
      </c>
      <c r="G500" s="2">
        <v>1</v>
      </c>
      <c r="H500" s="2">
        <v>30</v>
      </c>
      <c r="I500" s="2">
        <v>1</v>
      </c>
      <c r="J500" s="2">
        <v>0</v>
      </c>
      <c r="K500" s="6">
        <v>0.18</v>
      </c>
      <c r="L500" s="2">
        <v>0</v>
      </c>
      <c r="M500" s="7">
        <f>(C500+H500)*E500*F500*G500*I500+J500+L500</f>
        <v>332.87699999999995</v>
      </c>
      <c r="N500" s="8">
        <f>((M500/1.21)-L500)*0.18</f>
        <v>49.518892561983471</v>
      </c>
      <c r="O500" s="9">
        <v>0.4</v>
      </c>
      <c r="P500" s="8">
        <f>(((1-O500)*C500)/1.23)*F500+D500+N500</f>
        <v>244.32377061076397</v>
      </c>
      <c r="Q500" s="36">
        <f>(M500/1.21-P500)/(M500/1.21)</f>
        <v>0.11188888857138098</v>
      </c>
    </row>
    <row r="501" spans="2:17" ht="15.6" customHeight="1" x14ac:dyDescent="0.25">
      <c r="B501" s="104"/>
      <c r="C501" s="35">
        <v>150</v>
      </c>
      <c r="D501" s="32">
        <v>140</v>
      </c>
      <c r="E501" s="2">
        <v>0.94</v>
      </c>
      <c r="F501" s="2">
        <v>5.35</v>
      </c>
      <c r="G501" s="2">
        <v>1</v>
      </c>
      <c r="H501" s="2">
        <v>30</v>
      </c>
      <c r="I501" s="2">
        <v>1</v>
      </c>
      <c r="J501" s="2">
        <v>0</v>
      </c>
      <c r="K501" s="6">
        <v>0.18</v>
      </c>
      <c r="L501" s="2">
        <v>0</v>
      </c>
      <c r="M501" s="7">
        <f>(C501+H501)*E501*F501*G501*I501+J501+L501</f>
        <v>905.21999999999991</v>
      </c>
      <c r="N501" s="8">
        <f>((M501/1.21)-L501)*0.18</f>
        <v>134.66082644628096</v>
      </c>
      <c r="O501" s="9">
        <v>0.4</v>
      </c>
      <c r="P501" s="8">
        <f>(((1-O501)*C501)/1.23)*F501+D501+N501</f>
        <v>666.12424108042728</v>
      </c>
      <c r="Q501" s="36">
        <f>(M501/1.21-P501)/(M501/1.21)</f>
        <v>0.1095973004271701</v>
      </c>
    </row>
    <row r="502" spans="2:17" ht="15.6" customHeight="1" x14ac:dyDescent="0.25">
      <c r="B502" s="104"/>
      <c r="C502" s="35">
        <v>300</v>
      </c>
      <c r="D502" s="32">
        <v>140</v>
      </c>
      <c r="E502" s="2">
        <v>0.88</v>
      </c>
      <c r="F502" s="2">
        <v>5.35</v>
      </c>
      <c r="G502" s="2">
        <v>1</v>
      </c>
      <c r="H502" s="2">
        <v>30</v>
      </c>
      <c r="I502" s="2">
        <v>1</v>
      </c>
      <c r="J502" s="2">
        <v>0</v>
      </c>
      <c r="K502" s="6">
        <v>0.18</v>
      </c>
      <c r="L502" s="2">
        <v>0</v>
      </c>
      <c r="M502" s="7">
        <f>(C502+H502)*E502*F502*G502*I502+J502+L502</f>
        <v>1553.6399999999999</v>
      </c>
      <c r="N502" s="8">
        <f>((M502/1.21)-L502)*0.18</f>
        <v>231.12</v>
      </c>
      <c r="O502" s="9">
        <v>0.4</v>
      </c>
      <c r="P502" s="8">
        <f>(((1-O502)*C502)/1.23)*F502+D502+N502</f>
        <v>1154.0468292682926</v>
      </c>
      <c r="Q502" s="36">
        <f>(M502/1.21-P502)/(M502/1.21)</f>
        <v>0.10120963452625184</v>
      </c>
    </row>
    <row r="503" spans="2:17" ht="15.6" customHeight="1" x14ac:dyDescent="0.25">
      <c r="B503" s="104"/>
      <c r="C503" s="35">
        <v>700</v>
      </c>
      <c r="D503" s="32">
        <v>140</v>
      </c>
      <c r="E503" s="2">
        <v>0.84599999999999997</v>
      </c>
      <c r="F503" s="2">
        <v>5.35</v>
      </c>
      <c r="G503" s="2">
        <v>1</v>
      </c>
      <c r="H503" s="2">
        <v>30</v>
      </c>
      <c r="I503" s="2">
        <v>1</v>
      </c>
      <c r="J503" s="2">
        <v>0</v>
      </c>
      <c r="K503" s="6">
        <v>0.18</v>
      </c>
      <c r="L503" s="2">
        <v>0</v>
      </c>
      <c r="M503" s="7">
        <f>(C503+H503)*E503*F503*G503*I503+J503+L503</f>
        <v>3304.0529999999994</v>
      </c>
      <c r="N503" s="8">
        <f>((M503/1.21)-L503)*0.18</f>
        <v>491.51201652892553</v>
      </c>
      <c r="O503" s="9">
        <v>0.4</v>
      </c>
      <c r="P503" s="8">
        <f>(((1-O503)*C503)/1.23)*F503+D503+N503</f>
        <v>2458.3412848216085</v>
      </c>
      <c r="Q503" s="36">
        <f>(M503/1.21-P503)/(M503/1.21)</f>
        <v>9.9713910571608014E-2</v>
      </c>
    </row>
    <row r="504" spans="2:17" ht="15.6" customHeight="1" x14ac:dyDescent="0.25">
      <c r="B504" s="104"/>
      <c r="C504" s="35">
        <v>1452</v>
      </c>
      <c r="D504" s="32">
        <v>140</v>
      </c>
      <c r="E504" s="2">
        <v>0.83</v>
      </c>
      <c r="F504" s="2">
        <v>5.35</v>
      </c>
      <c r="G504" s="2">
        <v>1</v>
      </c>
      <c r="H504" s="2">
        <v>30</v>
      </c>
      <c r="I504" s="2">
        <v>1</v>
      </c>
      <c r="J504" s="2">
        <v>0</v>
      </c>
      <c r="K504" s="6">
        <v>0.18</v>
      </c>
      <c r="L504" s="2">
        <v>0</v>
      </c>
      <c r="M504" s="7">
        <f>(C504+H504)*E504*F504*G504*I504+J504+L504</f>
        <v>6580.820999999999</v>
      </c>
      <c r="N504" s="8">
        <f>((M504/1.21)-L504)*0.18</f>
        <v>978.96510743801628</v>
      </c>
      <c r="O504" s="9">
        <v>0.4</v>
      </c>
      <c r="P504" s="8">
        <f>(((1-O504)*C504)/1.23)*F504+D504+N504</f>
        <v>4908.3309610965525</v>
      </c>
      <c r="Q504" s="36">
        <f>(M504/1.21-P504)/(M504/1.21)</f>
        <v>9.7516789633568565E-2</v>
      </c>
    </row>
    <row r="505" spans="2:17" ht="15.6" customHeight="1" x14ac:dyDescent="0.25">
      <c r="B505" s="104"/>
      <c r="Q505" s="18"/>
    </row>
    <row r="506" spans="2:17" ht="15.6" customHeight="1" x14ac:dyDescent="0.25">
      <c r="B506" s="104"/>
      <c r="Q506" s="18"/>
    </row>
    <row r="507" spans="2:17" ht="15.6" customHeight="1" x14ac:dyDescent="0.3">
      <c r="B507" s="104"/>
      <c r="C507" s="107" t="s">
        <v>17</v>
      </c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9"/>
    </row>
    <row r="508" spans="2:17" ht="15.6" customHeight="1" x14ac:dyDescent="0.25">
      <c r="B508" s="104"/>
      <c r="C508" s="1" t="s">
        <v>19</v>
      </c>
      <c r="D508" s="32" t="s">
        <v>2</v>
      </c>
      <c r="E508" s="2" t="s">
        <v>3</v>
      </c>
      <c r="F508" s="2" t="s">
        <v>4</v>
      </c>
      <c r="G508" s="2" t="s">
        <v>5</v>
      </c>
      <c r="H508" s="2" t="s">
        <v>6</v>
      </c>
      <c r="I508" s="2" t="s">
        <v>7</v>
      </c>
      <c r="J508" s="2" t="s">
        <v>8</v>
      </c>
      <c r="K508" s="2" t="s">
        <v>9</v>
      </c>
      <c r="L508" s="2" t="s">
        <v>10</v>
      </c>
      <c r="M508" s="2" t="s">
        <v>11</v>
      </c>
      <c r="N508" s="2" t="s">
        <v>12</v>
      </c>
      <c r="O508" s="2" t="s">
        <v>13</v>
      </c>
      <c r="P508" s="2" t="s">
        <v>14</v>
      </c>
      <c r="Q508" s="3" t="s">
        <v>15</v>
      </c>
    </row>
    <row r="509" spans="2:17" ht="15.6" customHeight="1" x14ac:dyDescent="0.25">
      <c r="B509" s="104"/>
      <c r="C509" s="35">
        <v>21</v>
      </c>
      <c r="D509" s="32">
        <v>85</v>
      </c>
      <c r="E509" s="2">
        <v>0.80700000000000005</v>
      </c>
      <c r="F509" s="2">
        <v>5.35</v>
      </c>
      <c r="G509" s="2">
        <v>1</v>
      </c>
      <c r="H509" s="2">
        <v>20</v>
      </c>
      <c r="I509" s="2">
        <v>1</v>
      </c>
      <c r="J509" s="2">
        <v>0</v>
      </c>
      <c r="K509" s="6">
        <v>0.18</v>
      </c>
      <c r="L509" s="2">
        <v>49</v>
      </c>
      <c r="M509" s="7">
        <f>(C509+H509)*E509*F509*G509*I509+J509+L509</f>
        <v>226.01545000000002</v>
      </c>
      <c r="N509" s="8">
        <f>((M509/1.21)-L509)*0.18</f>
        <v>24.802133057851243</v>
      </c>
      <c r="O509" s="9">
        <v>0.4</v>
      </c>
      <c r="P509" s="8">
        <f>(((1-O509)*C509)/1.23)*F509+D509+N509</f>
        <v>164.60701110663175</v>
      </c>
      <c r="Q509" s="36">
        <f>(M509/1.21-P509)/(M509/1.21)</f>
        <v>0.11875722018550328</v>
      </c>
    </row>
    <row r="510" spans="2:17" ht="15.6" customHeight="1" x14ac:dyDescent="0.25">
      <c r="B510" s="104"/>
      <c r="C510" s="35">
        <v>150</v>
      </c>
      <c r="D510" s="32">
        <v>85</v>
      </c>
      <c r="E510" s="2">
        <v>0.81799999999999995</v>
      </c>
      <c r="F510" s="2">
        <v>5.35</v>
      </c>
      <c r="G510" s="2">
        <v>1</v>
      </c>
      <c r="H510" s="2">
        <v>20</v>
      </c>
      <c r="I510" s="2">
        <v>1</v>
      </c>
      <c r="J510" s="2">
        <v>0</v>
      </c>
      <c r="K510" s="6">
        <v>0.18</v>
      </c>
      <c r="L510" s="2">
        <v>49</v>
      </c>
      <c r="M510" s="7">
        <f>(C510+H510)*E510*F510*G510*I510+J510+L510</f>
        <v>792.971</v>
      </c>
      <c r="N510" s="8">
        <f>((M510/1.21)-L510)*0.18</f>
        <v>109.14262809917355</v>
      </c>
      <c r="O510" s="9">
        <v>0.4</v>
      </c>
      <c r="P510" s="8">
        <f>(((1-O510)*C510)/1.23)*F510+D510+N510</f>
        <v>585.6060427333199</v>
      </c>
      <c r="Q510" s="36">
        <f>(M510/1.21-P510)/(M510/1.21)</f>
        <v>0.10641963992716368</v>
      </c>
    </row>
    <row r="511" spans="2:17" ht="15.6" customHeight="1" x14ac:dyDescent="0.25">
      <c r="B511" s="104"/>
      <c r="C511" s="35">
        <v>300</v>
      </c>
      <c r="D511" s="32">
        <v>85</v>
      </c>
      <c r="E511" s="2">
        <v>0.82099999999999995</v>
      </c>
      <c r="F511" s="2">
        <v>5.35</v>
      </c>
      <c r="G511" s="2">
        <v>1</v>
      </c>
      <c r="H511" s="2">
        <v>20</v>
      </c>
      <c r="I511" s="2">
        <v>1</v>
      </c>
      <c r="J511" s="2">
        <v>0</v>
      </c>
      <c r="K511" s="6">
        <v>0.18</v>
      </c>
      <c r="L511" s="2">
        <v>49</v>
      </c>
      <c r="M511" s="7">
        <f>(C511+H511)*E511*F511*G511*I511+J511+L511</f>
        <v>1454.5519999999997</v>
      </c>
      <c r="N511" s="8">
        <f>((M511/1.21)-L511)*0.18</f>
        <v>207.55963636363629</v>
      </c>
      <c r="O511" s="9">
        <v>0.4</v>
      </c>
      <c r="P511" s="8">
        <f>(((1-O511)*C511)/1.23)*F511+D511+N511</f>
        <v>1075.4864656319289</v>
      </c>
      <c r="Q511" s="36">
        <f>(M511/1.21-P511)/(M511/1.21)</f>
        <v>0.10533372240068808</v>
      </c>
    </row>
    <row r="512" spans="2:17" ht="15.6" customHeight="1" x14ac:dyDescent="0.25">
      <c r="B512" s="104"/>
      <c r="C512" s="35">
        <v>700</v>
      </c>
      <c r="D512" s="32">
        <v>85</v>
      </c>
      <c r="E512" s="2">
        <v>0.82099999999999995</v>
      </c>
      <c r="F512" s="2">
        <v>5.35</v>
      </c>
      <c r="G512" s="2">
        <v>1</v>
      </c>
      <c r="H512" s="2">
        <v>20</v>
      </c>
      <c r="I512" s="2">
        <v>1</v>
      </c>
      <c r="J512" s="2">
        <v>0</v>
      </c>
      <c r="K512" s="6">
        <v>0.18</v>
      </c>
      <c r="L512" s="2">
        <v>49</v>
      </c>
      <c r="M512" s="7">
        <f>(C512+H512)*E512*F512*G512*I512+J512+L512</f>
        <v>3211.4919999999997</v>
      </c>
      <c r="N512" s="8">
        <f>((M512/1.21)-L512)*0.18</f>
        <v>468.92261157024785</v>
      </c>
      <c r="O512" s="9">
        <v>0.4</v>
      </c>
      <c r="P512" s="8">
        <f>(((1-O512)*C512)/1.23)*F512+D512+N512</f>
        <v>2380.7518798629308</v>
      </c>
      <c r="Q512" s="36">
        <f>(M512/1.21-P512)/(M512/1.21)</f>
        <v>0.10299954829900043</v>
      </c>
    </row>
    <row r="513" spans="2:17" ht="15.6" customHeight="1" thickBot="1" x14ac:dyDescent="0.3">
      <c r="B513" s="105"/>
      <c r="C513" s="35">
        <v>1452</v>
      </c>
      <c r="D513" s="32">
        <v>85</v>
      </c>
      <c r="E513" s="2">
        <v>0.81899999999999995</v>
      </c>
      <c r="F513" s="2">
        <v>5.35</v>
      </c>
      <c r="G513" s="2">
        <v>1</v>
      </c>
      <c r="H513" s="2">
        <v>20</v>
      </c>
      <c r="I513" s="2">
        <v>1</v>
      </c>
      <c r="J513" s="2">
        <v>0</v>
      </c>
      <c r="K513" s="6">
        <v>0.18</v>
      </c>
      <c r="L513" s="2">
        <v>49</v>
      </c>
      <c r="M513" s="7">
        <f>(C513+H513)*E513*F513*G513*I513+J513+L513</f>
        <v>6498.7887999999994</v>
      </c>
      <c r="N513" s="8">
        <f>((M513/1.21)-L513)*0.18</f>
        <v>957.9419702479338</v>
      </c>
      <c r="O513" s="9">
        <v>0.4</v>
      </c>
      <c r="P513" s="8">
        <f>(((1-O513)*C513)/1.23)*F513+D513+N513</f>
        <v>4832.3078239064698</v>
      </c>
      <c r="Q513" s="36">
        <f>(M513/1.21-P513)/(M513/1.21)</f>
        <v>0.10027966027656895</v>
      </c>
    </row>
    <row r="514" spans="2:17" ht="15.6" customHeight="1" thickBot="1" x14ac:dyDescent="0.3"/>
    <row r="515" spans="2:17" ht="15.6" customHeight="1" x14ac:dyDescent="0.3">
      <c r="B515" s="103" t="s">
        <v>94</v>
      </c>
      <c r="C515" s="106" t="s">
        <v>16</v>
      </c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9"/>
    </row>
    <row r="516" spans="2:17" ht="15.6" customHeight="1" x14ac:dyDescent="0.25">
      <c r="B516" s="104"/>
      <c r="C516" s="1" t="s">
        <v>1</v>
      </c>
      <c r="D516" s="32" t="s">
        <v>2</v>
      </c>
      <c r="E516" s="2" t="s">
        <v>3</v>
      </c>
      <c r="F516" s="2" t="s">
        <v>4</v>
      </c>
      <c r="G516" s="2" t="s">
        <v>5</v>
      </c>
      <c r="H516" s="2" t="s">
        <v>6</v>
      </c>
      <c r="I516" s="2" t="s">
        <v>7</v>
      </c>
      <c r="J516" s="2" t="s">
        <v>8</v>
      </c>
      <c r="K516" s="2" t="s">
        <v>9</v>
      </c>
      <c r="L516" s="2" t="s">
        <v>10</v>
      </c>
      <c r="M516" s="2" t="s">
        <v>11</v>
      </c>
      <c r="N516" s="2" t="s">
        <v>12</v>
      </c>
      <c r="O516" s="2" t="s">
        <v>13</v>
      </c>
      <c r="P516" s="2" t="s">
        <v>14</v>
      </c>
      <c r="Q516" s="3" t="s">
        <v>15</v>
      </c>
    </row>
    <row r="517" spans="2:17" ht="15.6" customHeight="1" x14ac:dyDescent="0.25">
      <c r="B517" s="104"/>
      <c r="C517" s="38">
        <v>640</v>
      </c>
      <c r="D517" s="32">
        <v>0</v>
      </c>
      <c r="E517" s="2">
        <v>1.64</v>
      </c>
      <c r="F517" s="2">
        <v>1</v>
      </c>
      <c r="G517" s="2">
        <v>1.23</v>
      </c>
      <c r="H517" s="2">
        <v>0</v>
      </c>
      <c r="I517" s="2">
        <v>1</v>
      </c>
      <c r="J517" s="2">
        <v>0</v>
      </c>
      <c r="K517" s="6">
        <v>0.18</v>
      </c>
      <c r="L517" s="2">
        <v>0</v>
      </c>
      <c r="M517" s="7">
        <f>(C517+H517)*E517*F517*G517*I517+J517+L517</f>
        <v>1291.0079999999998</v>
      </c>
      <c r="N517" s="8">
        <f>((M517/1.21)-L517)*0.18</f>
        <v>192.05077685950408</v>
      </c>
      <c r="O517" s="9">
        <v>0</v>
      </c>
      <c r="P517" s="8">
        <f>(1-O517)*C517*F517+(D517*F517)+N517</f>
        <v>832.05077685950414</v>
      </c>
      <c r="Q517" s="36">
        <f>(M517/1.21-P517)/(M517/1.21)</f>
        <v>0.22015863573269867</v>
      </c>
    </row>
    <row r="518" spans="2:17" ht="15.6" customHeight="1" x14ac:dyDescent="0.25">
      <c r="B518" s="104"/>
      <c r="C518" s="37">
        <v>1501</v>
      </c>
      <c r="D518" s="32">
        <v>0</v>
      </c>
      <c r="E518" s="2">
        <v>1.64</v>
      </c>
      <c r="F518" s="2">
        <v>1</v>
      </c>
      <c r="G518" s="2">
        <v>1.23</v>
      </c>
      <c r="H518" s="2">
        <v>0</v>
      </c>
      <c r="I518" s="2">
        <v>1</v>
      </c>
      <c r="J518" s="2">
        <v>0</v>
      </c>
      <c r="K518" s="6">
        <v>0.18</v>
      </c>
      <c r="L518" s="2">
        <v>0</v>
      </c>
      <c r="M518" s="7">
        <f t="shared" ref="M518:M526" si="109">(C518+H518)*E518*F518*G518*I518+J518+L518</f>
        <v>3027.8172</v>
      </c>
      <c r="N518" s="8">
        <f t="shared" ref="N518:N526" si="110">((M518/1.21)-L518)*0.18</f>
        <v>450.41908760330574</v>
      </c>
      <c r="O518" s="9">
        <v>0</v>
      </c>
      <c r="P518" s="8">
        <f t="shared" ref="P518:P526" si="111">(1-O518)*C518*F518+(D518*F518)+N518</f>
        <v>1951.4190876033058</v>
      </c>
      <c r="Q518" s="36">
        <f t="shared" ref="Q518:Q526" si="112">(M518/1.21-P518)/(M518/1.21)</f>
        <v>0.22015863573269875</v>
      </c>
    </row>
    <row r="519" spans="2:17" ht="15.6" customHeight="1" x14ac:dyDescent="0.25">
      <c r="B519" s="104"/>
      <c r="C519" s="37">
        <v>3192</v>
      </c>
      <c r="D519" s="32">
        <v>0</v>
      </c>
      <c r="E519" s="2">
        <v>1.64</v>
      </c>
      <c r="F519" s="2">
        <v>1</v>
      </c>
      <c r="G519" s="2">
        <v>1.23</v>
      </c>
      <c r="H519" s="2">
        <v>0</v>
      </c>
      <c r="I519" s="2">
        <v>1</v>
      </c>
      <c r="J519" s="2">
        <v>0</v>
      </c>
      <c r="K519" s="6">
        <v>0.18</v>
      </c>
      <c r="L519" s="2">
        <v>0</v>
      </c>
      <c r="M519" s="7">
        <f t="shared" si="109"/>
        <v>6438.9023999999999</v>
      </c>
      <c r="N519" s="8">
        <f t="shared" si="110"/>
        <v>957.85324958677677</v>
      </c>
      <c r="O519" s="9">
        <v>0</v>
      </c>
      <c r="P519" s="8">
        <f t="shared" si="111"/>
        <v>4149.8532495867767</v>
      </c>
      <c r="Q519" s="36">
        <f t="shared" si="112"/>
        <v>0.22015863573269881</v>
      </c>
    </row>
    <row r="520" spans="2:17" ht="15.6" customHeight="1" x14ac:dyDescent="0.25">
      <c r="B520" s="104"/>
      <c r="C520" s="37">
        <v>5070</v>
      </c>
      <c r="D520" s="32">
        <v>0</v>
      </c>
      <c r="E520" s="2">
        <v>1.64</v>
      </c>
      <c r="F520" s="2">
        <v>1</v>
      </c>
      <c r="G520" s="2">
        <v>1.23</v>
      </c>
      <c r="H520" s="2">
        <v>0</v>
      </c>
      <c r="I520" s="2">
        <v>1</v>
      </c>
      <c r="J520" s="2">
        <v>0</v>
      </c>
      <c r="K520" s="6">
        <v>0.18</v>
      </c>
      <c r="L520" s="2">
        <v>0</v>
      </c>
      <c r="M520" s="7">
        <f t="shared" si="109"/>
        <v>10227.204</v>
      </c>
      <c r="N520" s="8">
        <f t="shared" si="110"/>
        <v>1521.4022479338842</v>
      </c>
      <c r="O520" s="9">
        <v>0</v>
      </c>
      <c r="P520" s="8">
        <f t="shared" si="111"/>
        <v>6591.4022479338837</v>
      </c>
      <c r="Q520" s="36">
        <f t="shared" si="112"/>
        <v>0.22015863573269887</v>
      </c>
    </row>
    <row r="521" spans="2:17" ht="15.6" customHeight="1" x14ac:dyDescent="0.25">
      <c r="B521" s="104"/>
      <c r="C521" s="37">
        <v>8574</v>
      </c>
      <c r="D521" s="32">
        <v>0</v>
      </c>
      <c r="E521" s="2">
        <v>1.64</v>
      </c>
      <c r="F521" s="2">
        <v>1</v>
      </c>
      <c r="G521" s="2">
        <v>1.23</v>
      </c>
      <c r="H521" s="2">
        <v>0</v>
      </c>
      <c r="I521" s="2">
        <v>1</v>
      </c>
      <c r="J521" s="2">
        <v>0</v>
      </c>
      <c r="K521" s="6">
        <v>0.18</v>
      </c>
      <c r="L521" s="2">
        <v>0</v>
      </c>
      <c r="M521" s="7">
        <f t="shared" si="109"/>
        <v>17295.4728</v>
      </c>
      <c r="N521" s="8">
        <f t="shared" si="110"/>
        <v>2572.8802512396692</v>
      </c>
      <c r="O521" s="9">
        <v>0</v>
      </c>
      <c r="P521" s="8">
        <f t="shared" si="111"/>
        <v>11146.880251239669</v>
      </c>
      <c r="Q521" s="36">
        <f t="shared" si="112"/>
        <v>0.22015863573269887</v>
      </c>
    </row>
    <row r="522" spans="2:17" ht="15.6" customHeight="1" x14ac:dyDescent="0.25">
      <c r="B522" s="104"/>
      <c r="C522" s="37">
        <v>12130</v>
      </c>
      <c r="D522" s="32">
        <v>0</v>
      </c>
      <c r="E522" s="2">
        <v>1.64</v>
      </c>
      <c r="F522" s="2">
        <v>1</v>
      </c>
      <c r="G522" s="2">
        <v>1.23</v>
      </c>
      <c r="H522" s="2">
        <v>0</v>
      </c>
      <c r="I522" s="2">
        <v>1</v>
      </c>
      <c r="J522" s="2">
        <v>0</v>
      </c>
      <c r="K522" s="6">
        <v>0.18</v>
      </c>
      <c r="L522" s="2">
        <v>0</v>
      </c>
      <c r="M522" s="7">
        <f t="shared" si="109"/>
        <v>24468.635999999995</v>
      </c>
      <c r="N522" s="8">
        <f t="shared" si="110"/>
        <v>3639.9623801652888</v>
      </c>
      <c r="O522" s="9">
        <v>0</v>
      </c>
      <c r="P522" s="8">
        <f t="shared" si="111"/>
        <v>15769.962380165289</v>
      </c>
      <c r="Q522" s="36">
        <f t="shared" si="112"/>
        <v>0.2201586357326987</v>
      </c>
    </row>
    <row r="523" spans="2:17" ht="15.6" customHeight="1" x14ac:dyDescent="0.25">
      <c r="B523" s="104"/>
      <c r="C523" s="37">
        <v>18291</v>
      </c>
      <c r="D523" s="32">
        <v>0</v>
      </c>
      <c r="E523" s="2">
        <v>1.64</v>
      </c>
      <c r="F523" s="2">
        <v>1</v>
      </c>
      <c r="G523" s="2">
        <v>1.23</v>
      </c>
      <c r="H523" s="2">
        <v>0</v>
      </c>
      <c r="I523" s="2">
        <v>1</v>
      </c>
      <c r="J523" s="2">
        <v>0</v>
      </c>
      <c r="K523" s="6">
        <v>0.18</v>
      </c>
      <c r="L523" s="2">
        <v>0</v>
      </c>
      <c r="M523" s="7">
        <f t="shared" si="109"/>
        <v>36896.605199999998</v>
      </c>
      <c r="N523" s="8">
        <f t="shared" si="110"/>
        <v>5488.751186776859</v>
      </c>
      <c r="O523" s="9">
        <v>0</v>
      </c>
      <c r="P523" s="8">
        <f t="shared" si="111"/>
        <v>23779.751186776859</v>
      </c>
      <c r="Q523" s="36">
        <f t="shared" si="112"/>
        <v>0.22015863573269884</v>
      </c>
    </row>
    <row r="524" spans="2:17" ht="15.6" customHeight="1" x14ac:dyDescent="0.25">
      <c r="B524" s="104"/>
      <c r="C524" s="37">
        <v>24895</v>
      </c>
      <c r="D524" s="32">
        <v>0</v>
      </c>
      <c r="E524" s="2">
        <v>1.64</v>
      </c>
      <c r="F524" s="2">
        <v>1</v>
      </c>
      <c r="G524" s="2">
        <v>1.23</v>
      </c>
      <c r="H524" s="2">
        <v>0</v>
      </c>
      <c r="I524" s="2">
        <v>1</v>
      </c>
      <c r="J524" s="2">
        <v>0</v>
      </c>
      <c r="K524" s="6">
        <v>0.18</v>
      </c>
      <c r="L524" s="2">
        <v>0</v>
      </c>
      <c r="M524" s="7">
        <f t="shared" si="109"/>
        <v>50218.193999999996</v>
      </c>
      <c r="N524" s="8">
        <f t="shared" si="110"/>
        <v>7470.475140495867</v>
      </c>
      <c r="O524" s="9">
        <v>0</v>
      </c>
      <c r="P524" s="8">
        <f t="shared" si="111"/>
        <v>32365.475140495866</v>
      </c>
      <c r="Q524" s="36">
        <f t="shared" si="112"/>
        <v>0.22015863573269878</v>
      </c>
    </row>
    <row r="525" spans="2:17" ht="15.6" customHeight="1" x14ac:dyDescent="0.25">
      <c r="B525" s="104"/>
      <c r="C525" s="37">
        <v>24895</v>
      </c>
      <c r="D525" s="32">
        <v>0</v>
      </c>
      <c r="E525" s="2">
        <v>1.64</v>
      </c>
      <c r="F525" s="2">
        <v>1</v>
      </c>
      <c r="G525" s="2">
        <v>1.23</v>
      </c>
      <c r="H525" s="2">
        <v>0</v>
      </c>
      <c r="I525" s="2">
        <v>1</v>
      </c>
      <c r="J525" s="2">
        <v>0</v>
      </c>
      <c r="K525" s="6">
        <v>0.18</v>
      </c>
      <c r="L525" s="2">
        <v>0</v>
      </c>
      <c r="M525" s="7">
        <f t="shared" si="109"/>
        <v>50218.193999999996</v>
      </c>
      <c r="N525" s="8">
        <f t="shared" si="110"/>
        <v>7470.475140495867</v>
      </c>
      <c r="O525" s="9">
        <v>0</v>
      </c>
      <c r="P525" s="8">
        <f t="shared" si="111"/>
        <v>32365.475140495866</v>
      </c>
      <c r="Q525" s="36">
        <f t="shared" si="112"/>
        <v>0.22015863573269878</v>
      </c>
    </row>
    <row r="526" spans="2:17" ht="15.6" customHeight="1" x14ac:dyDescent="0.25">
      <c r="B526" s="104"/>
      <c r="C526" s="37">
        <v>24895</v>
      </c>
      <c r="D526" s="32">
        <v>0</v>
      </c>
      <c r="E526" s="2">
        <v>1.64</v>
      </c>
      <c r="F526" s="2">
        <v>1</v>
      </c>
      <c r="G526" s="2">
        <v>1.23</v>
      </c>
      <c r="H526" s="2">
        <v>0</v>
      </c>
      <c r="I526" s="2">
        <v>1</v>
      </c>
      <c r="J526" s="2">
        <v>0</v>
      </c>
      <c r="K526" s="6">
        <v>0.18</v>
      </c>
      <c r="L526" s="2">
        <v>0</v>
      </c>
      <c r="M526" s="7">
        <f t="shared" si="109"/>
        <v>50218.193999999996</v>
      </c>
      <c r="N526" s="8">
        <f t="shared" si="110"/>
        <v>7470.475140495867</v>
      </c>
      <c r="O526" s="9">
        <v>0</v>
      </c>
      <c r="P526" s="8">
        <f t="shared" si="111"/>
        <v>32365.475140495866</v>
      </c>
      <c r="Q526" s="36">
        <f t="shared" si="112"/>
        <v>0.22015863573269878</v>
      </c>
    </row>
    <row r="527" spans="2:17" ht="15.6" customHeight="1" x14ac:dyDescent="0.25">
      <c r="B527" s="104"/>
      <c r="Q527" s="18"/>
    </row>
    <row r="528" spans="2:17" ht="15.6" customHeight="1" x14ac:dyDescent="0.3">
      <c r="B528" s="104"/>
      <c r="C528" s="107" t="s">
        <v>17</v>
      </c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9"/>
    </row>
    <row r="529" spans="2:17" ht="15.6" customHeight="1" x14ac:dyDescent="0.25">
      <c r="B529" s="104"/>
      <c r="C529" s="1" t="s">
        <v>1</v>
      </c>
      <c r="D529" s="3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2" t="s">
        <v>8</v>
      </c>
      <c r="K529" s="2" t="s">
        <v>9</v>
      </c>
      <c r="L529" s="2" t="s">
        <v>10</v>
      </c>
      <c r="M529" s="2" t="s">
        <v>11</v>
      </c>
      <c r="N529" s="2" t="s">
        <v>12</v>
      </c>
      <c r="O529" s="2" t="s">
        <v>13</v>
      </c>
      <c r="P529" s="2" t="s">
        <v>14</v>
      </c>
      <c r="Q529" s="3" t="s">
        <v>15</v>
      </c>
    </row>
    <row r="530" spans="2:17" ht="15.6" customHeight="1" x14ac:dyDescent="0.25">
      <c r="B530" s="104"/>
      <c r="C530" s="37">
        <v>235</v>
      </c>
      <c r="D530" s="32">
        <v>0</v>
      </c>
      <c r="E530" s="2">
        <v>1.4179999999999999</v>
      </c>
      <c r="F530" s="2">
        <v>1</v>
      </c>
      <c r="G530" s="2">
        <v>1.23</v>
      </c>
      <c r="H530" s="2">
        <v>1.0129999999999999</v>
      </c>
      <c r="I530" s="2">
        <v>1</v>
      </c>
      <c r="J530" s="2">
        <v>0</v>
      </c>
      <c r="K530" s="6">
        <v>0.18</v>
      </c>
      <c r="L530" s="2">
        <v>80</v>
      </c>
      <c r="M530" s="7">
        <f>(C530*H530)*E530*F530*G530*I530+J530+L530</f>
        <v>495.20124769999995</v>
      </c>
      <c r="N530" s="8">
        <f>((M530/1.21)-L530)*0.18</f>
        <v>59.266301310743799</v>
      </c>
      <c r="O530" s="9">
        <v>0</v>
      </c>
      <c r="P530" s="8">
        <f>(1-O530)*C530*F530+(D530*F530)+N530</f>
        <v>294.26630131074381</v>
      </c>
      <c r="Q530" s="36">
        <f>(M530/1.21-P530)/(M530/1.21)</f>
        <v>0.28097470222508886</v>
      </c>
    </row>
    <row r="531" spans="2:17" ht="15.6" customHeight="1" x14ac:dyDescent="0.25">
      <c r="B531" s="104"/>
      <c r="C531" s="37">
        <v>331</v>
      </c>
      <c r="D531" s="32">
        <v>0</v>
      </c>
      <c r="E531" s="2">
        <v>1.4179999999999999</v>
      </c>
      <c r="F531" s="2">
        <v>1</v>
      </c>
      <c r="G531" s="2">
        <v>1.23</v>
      </c>
      <c r="H531" s="2">
        <v>-100</v>
      </c>
      <c r="I531" s="2">
        <v>1</v>
      </c>
      <c r="J531" s="2">
        <v>0</v>
      </c>
      <c r="K531" s="6">
        <v>0.18</v>
      </c>
      <c r="L531" s="2">
        <v>110</v>
      </c>
      <c r="M531" s="7">
        <f>(C531+H531)*E531*F531*G531*I531+J531+L531</f>
        <v>512.89634000000001</v>
      </c>
      <c r="N531" s="8">
        <f>((M531/1.21)-L531)*0.18</f>
        <v>56.498629090909091</v>
      </c>
      <c r="O531" s="9">
        <v>0</v>
      </c>
      <c r="P531" s="8">
        <f t="shared" ref="P531:P539" si="113">(1-O531)*C531*F531+(D531*F531)+N531</f>
        <v>387.49862909090911</v>
      </c>
      <c r="Q531" s="36">
        <f>(M531/1.21-P531)/(M531/1.21)</f>
        <v>8.5832156259878944E-2</v>
      </c>
    </row>
    <row r="532" spans="2:17" ht="15.6" customHeight="1" x14ac:dyDescent="0.25">
      <c r="B532" s="104"/>
      <c r="C532" s="37">
        <v>1010</v>
      </c>
      <c r="D532" s="32">
        <v>0</v>
      </c>
      <c r="E532" s="2">
        <v>1.4179999999999999</v>
      </c>
      <c r="F532" s="2">
        <v>1</v>
      </c>
      <c r="G532" s="2">
        <v>1.23</v>
      </c>
      <c r="H532" s="2">
        <v>-190</v>
      </c>
      <c r="I532" s="2">
        <v>1</v>
      </c>
      <c r="J532" s="2">
        <v>0</v>
      </c>
      <c r="K532" s="6">
        <v>0.18</v>
      </c>
      <c r="L532" s="2">
        <v>210</v>
      </c>
      <c r="M532" s="7">
        <f>(C532+H532)*E532*F532*G532*I532+J532+L532</f>
        <v>1640.1948</v>
      </c>
      <c r="N532" s="8">
        <f t="shared" ref="N532:N536" si="114">((M532/1.21)-L532)*0.18</f>
        <v>206.19592066115703</v>
      </c>
      <c r="O532" s="9">
        <v>0</v>
      </c>
      <c r="P532" s="8">
        <f t="shared" si="113"/>
        <v>1216.1959206611571</v>
      </c>
      <c r="Q532" s="36">
        <f t="shared" ref="Q532:Q536" si="115">(M532/1.21-P532)/(M532/1.21)</f>
        <v>0.10279128796164945</v>
      </c>
    </row>
    <row r="533" spans="2:17" ht="15.6" customHeight="1" x14ac:dyDescent="0.25">
      <c r="B533" s="104"/>
      <c r="C533" s="37">
        <v>1235</v>
      </c>
      <c r="D533" s="32">
        <v>0</v>
      </c>
      <c r="E533" s="2">
        <v>1.4179999999999999</v>
      </c>
      <c r="F533" s="2">
        <v>1</v>
      </c>
      <c r="G533" s="2">
        <v>1.23</v>
      </c>
      <c r="H533" s="2">
        <v>-340</v>
      </c>
      <c r="I533" s="2">
        <v>1</v>
      </c>
      <c r="J533" s="2">
        <v>0</v>
      </c>
      <c r="K533" s="6">
        <v>0.18</v>
      </c>
      <c r="L533" s="2">
        <v>375</v>
      </c>
      <c r="M533" s="7">
        <f t="shared" ref="M533:M536" si="116">(C533+H533)*E533*F533*G533*I533+J533+L533</f>
        <v>1936.0052999999998</v>
      </c>
      <c r="N533" s="8">
        <f t="shared" si="114"/>
        <v>220.50078842975205</v>
      </c>
      <c r="O533" s="9">
        <v>0</v>
      </c>
      <c r="P533" s="8">
        <f t="shared" si="113"/>
        <v>1455.500788429752</v>
      </c>
      <c r="Q533" s="36">
        <f t="shared" si="115"/>
        <v>9.0314497589443571E-2</v>
      </c>
    </row>
    <row r="534" spans="2:17" ht="15.6" customHeight="1" x14ac:dyDescent="0.25">
      <c r="B534" s="104"/>
      <c r="C534" s="37">
        <v>2199</v>
      </c>
      <c r="D534" s="32">
        <v>0</v>
      </c>
      <c r="E534" s="2">
        <v>1.4179999999999999</v>
      </c>
      <c r="F534" s="2">
        <v>1</v>
      </c>
      <c r="G534" s="2">
        <v>1.23</v>
      </c>
      <c r="H534" s="2">
        <v>-490</v>
      </c>
      <c r="I534" s="2">
        <v>1</v>
      </c>
      <c r="J534" s="2">
        <v>0</v>
      </c>
      <c r="K534" s="6">
        <v>0.18</v>
      </c>
      <c r="L534" s="2">
        <v>540</v>
      </c>
      <c r="M534" s="7">
        <f t="shared" si="116"/>
        <v>3520.7352599999999</v>
      </c>
      <c r="N534" s="8">
        <f t="shared" si="114"/>
        <v>426.54574115702474</v>
      </c>
      <c r="O534" s="9">
        <v>0</v>
      </c>
      <c r="P534" s="8">
        <f t="shared" si="113"/>
        <v>2625.5457411570246</v>
      </c>
      <c r="Q534" s="36">
        <f t="shared" si="115"/>
        <v>9.7657133470467186E-2</v>
      </c>
    </row>
    <row r="535" spans="2:17" ht="15.6" customHeight="1" x14ac:dyDescent="0.25">
      <c r="B535" s="104"/>
      <c r="C535" s="37">
        <v>3092</v>
      </c>
      <c r="D535" s="32">
        <v>0</v>
      </c>
      <c r="E535" s="2">
        <v>1.4179999999999999</v>
      </c>
      <c r="F535" s="2">
        <v>1</v>
      </c>
      <c r="G535" s="2">
        <v>1.23</v>
      </c>
      <c r="H535" s="2">
        <v>-630</v>
      </c>
      <c r="I535" s="2">
        <v>1</v>
      </c>
      <c r="J535" s="2">
        <v>0</v>
      </c>
      <c r="K535" s="6">
        <v>0.18</v>
      </c>
      <c r="L535" s="2">
        <v>690</v>
      </c>
      <c r="M535" s="7">
        <f t="shared" si="116"/>
        <v>4984.0726800000002</v>
      </c>
      <c r="N535" s="8">
        <f t="shared" si="114"/>
        <v>617.23229950413224</v>
      </c>
      <c r="O535" s="9">
        <v>0</v>
      </c>
      <c r="P535" s="8">
        <f t="shared" si="113"/>
        <v>3709.2322995041322</v>
      </c>
      <c r="Q535" s="36">
        <f t="shared" si="115"/>
        <v>9.9497264474080652E-2</v>
      </c>
    </row>
    <row r="536" spans="2:17" ht="15.6" customHeight="1" x14ac:dyDescent="0.25">
      <c r="B536" s="104"/>
      <c r="C536" s="37">
        <v>3849</v>
      </c>
      <c r="D536" s="32">
        <v>0</v>
      </c>
      <c r="E536" s="2">
        <v>1.4179999999999999</v>
      </c>
      <c r="F536" s="2">
        <v>1</v>
      </c>
      <c r="G536" s="2">
        <v>1.23</v>
      </c>
      <c r="H536" s="2">
        <v>-740</v>
      </c>
      <c r="I536" s="2">
        <v>1</v>
      </c>
      <c r="J536" s="2">
        <v>0</v>
      </c>
      <c r="K536" s="6">
        <v>0.18</v>
      </c>
      <c r="L536" s="2">
        <v>815</v>
      </c>
      <c r="M536" s="7">
        <f t="shared" si="116"/>
        <v>6237.5312599999997</v>
      </c>
      <c r="N536" s="8">
        <f t="shared" si="114"/>
        <v>781.19721223140493</v>
      </c>
      <c r="O536" s="9">
        <v>0</v>
      </c>
      <c r="P536" s="8">
        <f t="shared" si="113"/>
        <v>4630.1972122314046</v>
      </c>
      <c r="Q536" s="36">
        <f t="shared" si="115"/>
        <v>0.10180191597148013</v>
      </c>
    </row>
    <row r="537" spans="2:17" ht="15.6" customHeight="1" x14ac:dyDescent="0.25">
      <c r="B537" s="104"/>
      <c r="C537" s="37">
        <v>5033</v>
      </c>
      <c r="D537" s="32">
        <v>0</v>
      </c>
      <c r="E537" s="2">
        <v>1.4179999999999999</v>
      </c>
      <c r="F537" s="2">
        <v>1</v>
      </c>
      <c r="G537" s="2">
        <v>1.23</v>
      </c>
      <c r="H537" s="2">
        <v>-820</v>
      </c>
      <c r="I537" s="2">
        <v>1</v>
      </c>
      <c r="J537" s="2">
        <v>0</v>
      </c>
      <c r="K537" s="6">
        <v>0.18</v>
      </c>
      <c r="L537" s="2">
        <v>905</v>
      </c>
      <c r="M537" s="7">
        <f>(C537+H537)*E537*F537*G537*I537+J537+L537</f>
        <v>8253.061819999999</v>
      </c>
      <c r="N537" s="8">
        <f>((M537/1.21)-L537)*0.18</f>
        <v>1064.828204628099</v>
      </c>
      <c r="O537" s="9">
        <v>0</v>
      </c>
      <c r="P537" s="8">
        <f t="shared" si="113"/>
        <v>6097.8282046280992</v>
      </c>
      <c r="Q537" s="36">
        <f>(M537/1.21-P537)/(M537/1.21)</f>
        <v>0.10598365933480912</v>
      </c>
    </row>
    <row r="538" spans="2:17" ht="15.6" customHeight="1" x14ac:dyDescent="0.25">
      <c r="B538" s="104"/>
      <c r="C538" s="37">
        <v>6496</v>
      </c>
      <c r="D538" s="32">
        <v>0</v>
      </c>
      <c r="E538" s="2">
        <v>1.4179999999999999</v>
      </c>
      <c r="F538" s="2">
        <v>1</v>
      </c>
      <c r="G538" s="2">
        <v>1.23</v>
      </c>
      <c r="H538" s="2">
        <v>-980</v>
      </c>
      <c r="I538" s="2">
        <v>1</v>
      </c>
      <c r="J538" s="2">
        <v>0</v>
      </c>
      <c r="K538" s="6">
        <v>0.18</v>
      </c>
      <c r="L538" s="2">
        <v>1080</v>
      </c>
      <c r="M538" s="7">
        <f>(C538+H538)*E538*F538*G538*I538+J538+L538</f>
        <v>10700.676239999999</v>
      </c>
      <c r="N538" s="8">
        <f>((M538/1.21)-L538)*0.18</f>
        <v>1397.4361348760331</v>
      </c>
      <c r="O538" s="9">
        <v>0</v>
      </c>
      <c r="P538" s="8">
        <f t="shared" si="113"/>
        <v>7893.4361348760331</v>
      </c>
      <c r="Q538" s="36">
        <f>(M538/1.21-P538)/(M538/1.21)</f>
        <v>0.1074341930375047</v>
      </c>
    </row>
    <row r="539" spans="2:17" ht="15.6" customHeight="1" thickBot="1" x14ac:dyDescent="0.3">
      <c r="B539" s="105"/>
      <c r="C539" s="37">
        <v>11031</v>
      </c>
      <c r="D539" s="32">
        <v>0</v>
      </c>
      <c r="E539" s="2">
        <v>1.4179999999999999</v>
      </c>
      <c r="F539" s="2">
        <v>1</v>
      </c>
      <c r="G539" s="2">
        <v>1.23</v>
      </c>
      <c r="H539" s="2">
        <v>-1300</v>
      </c>
      <c r="I539" s="2">
        <v>1</v>
      </c>
      <c r="J539" s="2">
        <v>0</v>
      </c>
      <c r="K539" s="6">
        <v>0.18</v>
      </c>
      <c r="L539" s="2">
        <v>1430</v>
      </c>
      <c r="M539" s="7">
        <f>(C539+H539)*E539*F539*G539*I539+J539+L539</f>
        <v>18402.226339999997</v>
      </c>
      <c r="N539" s="8">
        <f>((M539/1.21)-L539)*0.18</f>
        <v>2480.1212737190081</v>
      </c>
      <c r="O539" s="9">
        <v>0</v>
      </c>
      <c r="P539" s="8">
        <f t="shared" si="113"/>
        <v>13511.121273719007</v>
      </c>
      <c r="Q539" s="36">
        <f>(M539/1.21-P539)/(M539/1.21)</f>
        <v>0.11160440920867405</v>
      </c>
    </row>
    <row r="540" spans="2:17" ht="15.6" customHeight="1" thickBot="1" x14ac:dyDescent="0.3"/>
    <row r="541" spans="2:17" ht="15.6" customHeight="1" x14ac:dyDescent="0.3">
      <c r="B541" s="103" t="s">
        <v>95</v>
      </c>
      <c r="C541" s="106" t="s">
        <v>16</v>
      </c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9"/>
    </row>
    <row r="542" spans="2:17" ht="15.6" customHeight="1" x14ac:dyDescent="0.25">
      <c r="B542" s="104"/>
      <c r="C542" s="1" t="s">
        <v>1</v>
      </c>
      <c r="D542" s="32" t="s">
        <v>2</v>
      </c>
      <c r="E542" s="2" t="s">
        <v>3</v>
      </c>
      <c r="F542" s="2" t="s">
        <v>4</v>
      </c>
      <c r="G542" s="2" t="s">
        <v>5</v>
      </c>
      <c r="H542" s="2" t="s">
        <v>6</v>
      </c>
      <c r="I542" s="2" t="s">
        <v>7</v>
      </c>
      <c r="J542" s="2" t="s">
        <v>8</v>
      </c>
      <c r="K542" s="2" t="s">
        <v>9</v>
      </c>
      <c r="L542" s="2" t="s">
        <v>10</v>
      </c>
      <c r="M542" s="2" t="s">
        <v>11</v>
      </c>
      <c r="N542" s="2" t="s">
        <v>12</v>
      </c>
      <c r="O542" s="2" t="s">
        <v>13</v>
      </c>
      <c r="P542" s="2" t="s">
        <v>14</v>
      </c>
      <c r="Q542" s="3" t="s">
        <v>15</v>
      </c>
    </row>
    <row r="543" spans="2:17" ht="15.6" customHeight="1" x14ac:dyDescent="0.25">
      <c r="B543" s="104"/>
      <c r="C543" s="38">
        <v>640</v>
      </c>
      <c r="D543" s="32">
        <v>43.4</v>
      </c>
      <c r="E543" s="2">
        <v>1.64</v>
      </c>
      <c r="F543" s="2">
        <v>1</v>
      </c>
      <c r="G543" s="2">
        <v>1.23</v>
      </c>
      <c r="H543" s="2">
        <v>0</v>
      </c>
      <c r="I543" s="2">
        <v>1</v>
      </c>
      <c r="J543" s="2">
        <v>0</v>
      </c>
      <c r="K543" s="6">
        <v>0.18</v>
      </c>
      <c r="L543" s="2">
        <v>210</v>
      </c>
      <c r="M543" s="7">
        <f>(C543+H543)*E543*F543*G543*I543+J543+L543</f>
        <v>1501.0079999999998</v>
      </c>
      <c r="N543" s="8">
        <f>((M543/1.21)-L543)*0.18</f>
        <v>185.49044628099173</v>
      </c>
      <c r="O543" s="9">
        <v>0</v>
      </c>
      <c r="P543" s="8">
        <f>(1-O543)*C543*F543+(D543*5.35)+N543</f>
        <v>1057.6804462809916</v>
      </c>
      <c r="Q543" s="36">
        <f>(M543/1.21-P543)/(M543/1.21)</f>
        <v>0.14737740238559693</v>
      </c>
    </row>
    <row r="544" spans="2:17" ht="15.6" customHeight="1" x14ac:dyDescent="0.25">
      <c r="B544" s="104"/>
      <c r="C544" s="37">
        <v>1501</v>
      </c>
      <c r="D544" s="32">
        <f>D543+19.29</f>
        <v>62.69</v>
      </c>
      <c r="E544" s="2">
        <v>1.64</v>
      </c>
      <c r="F544" s="2">
        <v>1</v>
      </c>
      <c r="G544" s="2">
        <v>1.23</v>
      </c>
      <c r="H544" s="2">
        <v>0</v>
      </c>
      <c r="I544" s="2">
        <v>1</v>
      </c>
      <c r="J544" s="2">
        <v>0</v>
      </c>
      <c r="K544" s="6">
        <v>0.18</v>
      </c>
      <c r="L544" s="2">
        <v>270</v>
      </c>
      <c r="M544" s="7">
        <f t="shared" ref="M544:M552" si="117">(C544+H544)*E544*F544*G544*I544+J544+L544</f>
        <v>3297.8172</v>
      </c>
      <c r="N544" s="8">
        <f t="shared" ref="N544:N552" si="118">((M544/1.21)-L544)*0.18</f>
        <v>441.9843768595041</v>
      </c>
      <c r="O544" s="9">
        <v>0</v>
      </c>
      <c r="P544" s="8">
        <f t="shared" ref="P544:P552" si="119">(1-O544)*C544*F544+(D544*5.35)+N544</f>
        <v>2278.3758768595039</v>
      </c>
      <c r="Q544" s="36">
        <f t="shared" ref="Q544:Q552" si="120">(M544/1.21-P544)/(M544/1.21)</f>
        <v>0.16404256397231479</v>
      </c>
    </row>
    <row r="545" spans="2:17" ht="15.6" customHeight="1" x14ac:dyDescent="0.25">
      <c r="B545" s="104"/>
      <c r="C545" s="37">
        <v>3192</v>
      </c>
      <c r="D545" s="32">
        <f t="shared" ref="D545:D552" si="121">D544+19.29</f>
        <v>81.97999999999999</v>
      </c>
      <c r="E545" s="2">
        <v>1.64</v>
      </c>
      <c r="F545" s="2">
        <v>1</v>
      </c>
      <c r="G545" s="2">
        <v>1.23</v>
      </c>
      <c r="H545" s="2">
        <v>0</v>
      </c>
      <c r="I545" s="2">
        <v>1</v>
      </c>
      <c r="J545" s="2">
        <v>0</v>
      </c>
      <c r="K545" s="6">
        <v>0.18</v>
      </c>
      <c r="L545" s="2">
        <v>620</v>
      </c>
      <c r="M545" s="7">
        <f t="shared" si="117"/>
        <v>7058.9023999999999</v>
      </c>
      <c r="N545" s="8">
        <f t="shared" si="118"/>
        <v>938.48465454545453</v>
      </c>
      <c r="O545" s="9">
        <v>0</v>
      </c>
      <c r="P545" s="8">
        <f t="shared" si="119"/>
        <v>4569.0776545454546</v>
      </c>
      <c r="Q545" s="36">
        <f t="shared" si="120"/>
        <v>0.21679268975301316</v>
      </c>
    </row>
    <row r="546" spans="2:17" ht="15.6" customHeight="1" x14ac:dyDescent="0.25">
      <c r="B546" s="104"/>
      <c r="C546" s="37">
        <v>5070</v>
      </c>
      <c r="D546" s="32">
        <f t="shared" si="121"/>
        <v>101.26999999999998</v>
      </c>
      <c r="E546" s="2">
        <v>1.64</v>
      </c>
      <c r="F546" s="2">
        <v>1</v>
      </c>
      <c r="G546" s="2">
        <v>1.23</v>
      </c>
      <c r="H546" s="2">
        <v>0</v>
      </c>
      <c r="I546" s="2">
        <v>1</v>
      </c>
      <c r="J546" s="2">
        <v>0</v>
      </c>
      <c r="K546" s="6">
        <v>0.18</v>
      </c>
      <c r="L546" s="2">
        <v>920</v>
      </c>
      <c r="M546" s="7">
        <f t="shared" si="117"/>
        <v>11147.204</v>
      </c>
      <c r="N546" s="8">
        <f t="shared" si="118"/>
        <v>1492.6617520661155</v>
      </c>
      <c r="O546" s="9">
        <v>0</v>
      </c>
      <c r="P546" s="8">
        <f t="shared" si="119"/>
        <v>7104.4562520661157</v>
      </c>
      <c r="Q546" s="36">
        <f t="shared" si="120"/>
        <v>0.22882975273440759</v>
      </c>
    </row>
    <row r="547" spans="2:17" ht="15.6" customHeight="1" x14ac:dyDescent="0.25">
      <c r="B547" s="104"/>
      <c r="C547" s="37">
        <v>8574</v>
      </c>
      <c r="D547" s="32">
        <f t="shared" si="121"/>
        <v>120.55999999999997</v>
      </c>
      <c r="E547" s="2">
        <v>1.64</v>
      </c>
      <c r="F547" s="2">
        <v>1</v>
      </c>
      <c r="G547" s="2">
        <v>1.23</v>
      </c>
      <c r="H547" s="2">
        <v>0</v>
      </c>
      <c r="I547" s="2">
        <v>1</v>
      </c>
      <c r="J547" s="2">
        <v>0</v>
      </c>
      <c r="K547" s="6">
        <v>0.18</v>
      </c>
      <c r="L547" s="2">
        <v>920</v>
      </c>
      <c r="M547" s="7">
        <f t="shared" si="117"/>
        <v>18215.4728</v>
      </c>
      <c r="N547" s="8">
        <f t="shared" si="118"/>
        <v>2544.1397553719007</v>
      </c>
      <c r="O547" s="9">
        <v>0</v>
      </c>
      <c r="P547" s="8">
        <f t="shared" si="119"/>
        <v>11763.135755371899</v>
      </c>
      <c r="Q547" s="36">
        <f t="shared" si="120"/>
        <v>0.21860967210249968</v>
      </c>
    </row>
    <row r="548" spans="2:17" ht="15.6" customHeight="1" x14ac:dyDescent="0.25">
      <c r="B548" s="104"/>
      <c r="C548" s="37">
        <v>12130</v>
      </c>
      <c r="D548" s="32">
        <f t="shared" si="121"/>
        <v>139.84999999999997</v>
      </c>
      <c r="E548" s="2">
        <v>1.64</v>
      </c>
      <c r="F548" s="2">
        <v>1</v>
      </c>
      <c r="G548" s="2">
        <v>1.23</v>
      </c>
      <c r="H548" s="2">
        <v>0</v>
      </c>
      <c r="I548" s="2">
        <v>1</v>
      </c>
      <c r="J548" s="2">
        <v>0</v>
      </c>
      <c r="K548" s="6">
        <v>0.18</v>
      </c>
      <c r="L548" s="2">
        <v>920</v>
      </c>
      <c r="M548" s="7">
        <f t="shared" si="117"/>
        <v>25388.635999999995</v>
      </c>
      <c r="N548" s="8">
        <f t="shared" si="118"/>
        <v>3611.2218842975199</v>
      </c>
      <c r="O548" s="9">
        <v>0</v>
      </c>
      <c r="P548" s="8">
        <f t="shared" si="119"/>
        <v>16489.419384297522</v>
      </c>
      <c r="Q548" s="36">
        <f t="shared" si="120"/>
        <v>0.21412881515178661</v>
      </c>
    </row>
    <row r="549" spans="2:17" ht="15.6" customHeight="1" x14ac:dyDescent="0.25">
      <c r="B549" s="104"/>
      <c r="C549" s="37">
        <v>18291</v>
      </c>
      <c r="D549" s="32">
        <f t="shared" si="121"/>
        <v>159.13999999999996</v>
      </c>
      <c r="E549" s="2">
        <v>1.64</v>
      </c>
      <c r="F549" s="2">
        <v>1</v>
      </c>
      <c r="G549" s="2">
        <v>1.23</v>
      </c>
      <c r="H549" s="2">
        <v>0</v>
      </c>
      <c r="I549" s="2">
        <v>1</v>
      </c>
      <c r="J549" s="2">
        <v>0</v>
      </c>
      <c r="K549" s="6">
        <v>0.18</v>
      </c>
      <c r="L549" s="2">
        <v>920</v>
      </c>
      <c r="M549" s="7">
        <f t="shared" si="117"/>
        <v>37816.605199999998</v>
      </c>
      <c r="N549" s="8">
        <f t="shared" si="118"/>
        <v>5460.010690909091</v>
      </c>
      <c r="O549" s="9">
        <v>0</v>
      </c>
      <c r="P549" s="8">
        <f t="shared" si="119"/>
        <v>24602.409690909091</v>
      </c>
      <c r="Q549" s="36">
        <f t="shared" si="120"/>
        <v>0.21280835314112223</v>
      </c>
    </row>
    <row r="550" spans="2:17" ht="15.6" customHeight="1" x14ac:dyDescent="0.25">
      <c r="B550" s="104"/>
      <c r="C550" s="37">
        <v>24895</v>
      </c>
      <c r="D550" s="32">
        <f t="shared" si="121"/>
        <v>178.42999999999995</v>
      </c>
      <c r="E550" s="2">
        <v>1.64</v>
      </c>
      <c r="F550" s="2">
        <v>1</v>
      </c>
      <c r="G550" s="2">
        <v>1.23</v>
      </c>
      <c r="H550" s="2">
        <v>0</v>
      </c>
      <c r="I550" s="2">
        <v>1</v>
      </c>
      <c r="J550" s="2">
        <v>0</v>
      </c>
      <c r="K550" s="6">
        <v>0.18</v>
      </c>
      <c r="L550" s="2">
        <v>920</v>
      </c>
      <c r="M550" s="7">
        <f t="shared" si="117"/>
        <v>51138.193999999996</v>
      </c>
      <c r="N550" s="8">
        <f t="shared" si="118"/>
        <v>7441.7346446280981</v>
      </c>
      <c r="O550" s="9">
        <v>0</v>
      </c>
      <c r="P550" s="8">
        <f t="shared" si="119"/>
        <v>33291.335144628101</v>
      </c>
      <c r="Q550" s="36">
        <f t="shared" si="120"/>
        <v>0.21228122516411108</v>
      </c>
    </row>
    <row r="551" spans="2:17" ht="15.6" customHeight="1" x14ac:dyDescent="0.25">
      <c r="B551" s="104"/>
      <c r="C551" s="37">
        <v>24896</v>
      </c>
      <c r="D551" s="32">
        <f t="shared" si="121"/>
        <v>197.71999999999994</v>
      </c>
      <c r="E551" s="2">
        <v>1.64</v>
      </c>
      <c r="F551" s="2">
        <v>1</v>
      </c>
      <c r="G551" s="2">
        <v>1.23</v>
      </c>
      <c r="H551" s="2">
        <v>0</v>
      </c>
      <c r="I551" s="2">
        <v>1</v>
      </c>
      <c r="J551" s="2">
        <v>0</v>
      </c>
      <c r="K551" s="6">
        <v>0.18</v>
      </c>
      <c r="L551" s="2">
        <v>920</v>
      </c>
      <c r="M551" s="7">
        <f t="shared" si="117"/>
        <v>51140.211199999991</v>
      </c>
      <c r="N551" s="8">
        <f t="shared" si="118"/>
        <v>7442.0347239669409</v>
      </c>
      <c r="O551" s="9">
        <v>0</v>
      </c>
      <c r="P551" s="8">
        <f t="shared" si="119"/>
        <v>33395.836723966939</v>
      </c>
      <c r="Q551" s="36">
        <f t="shared" si="120"/>
        <v>0.20983974278150808</v>
      </c>
    </row>
    <row r="552" spans="2:17" ht="15.6" customHeight="1" x14ac:dyDescent="0.25">
      <c r="B552" s="104"/>
      <c r="C552" s="37">
        <v>24897</v>
      </c>
      <c r="D552" s="32">
        <f t="shared" si="121"/>
        <v>217.00999999999993</v>
      </c>
      <c r="E552" s="2">
        <v>1.64</v>
      </c>
      <c r="F552" s="2">
        <v>1</v>
      </c>
      <c r="G552" s="2">
        <v>1.23</v>
      </c>
      <c r="H552" s="2">
        <v>0</v>
      </c>
      <c r="I552" s="2">
        <v>1</v>
      </c>
      <c r="J552" s="2">
        <v>0</v>
      </c>
      <c r="K552" s="6">
        <v>0.18</v>
      </c>
      <c r="L552" s="2">
        <v>920</v>
      </c>
      <c r="M552" s="7">
        <f t="shared" si="117"/>
        <v>51142.228399999993</v>
      </c>
      <c r="N552" s="8">
        <f t="shared" si="118"/>
        <v>7442.3348033057846</v>
      </c>
      <c r="O552" s="9">
        <v>0</v>
      </c>
      <c r="P552" s="8">
        <f t="shared" si="119"/>
        <v>33500.338303305783</v>
      </c>
      <c r="Q552" s="36">
        <f t="shared" si="120"/>
        <v>0.20739845299740597</v>
      </c>
    </row>
    <row r="553" spans="2:17" ht="15.6" customHeight="1" x14ac:dyDescent="0.25">
      <c r="B553" s="104"/>
      <c r="Q553" s="18"/>
    </row>
    <row r="554" spans="2:17" ht="15.6" customHeight="1" x14ac:dyDescent="0.3">
      <c r="B554" s="104"/>
      <c r="C554" s="107" t="s">
        <v>17</v>
      </c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9"/>
    </row>
    <row r="555" spans="2:17" ht="15.6" customHeight="1" x14ac:dyDescent="0.25">
      <c r="B555" s="104"/>
      <c r="C555" s="1" t="s">
        <v>1</v>
      </c>
      <c r="D555" s="32" t="s">
        <v>2</v>
      </c>
      <c r="E555" s="2" t="s">
        <v>3</v>
      </c>
      <c r="F555" s="2" t="s">
        <v>4</v>
      </c>
      <c r="G555" s="2" t="s">
        <v>5</v>
      </c>
      <c r="H555" s="2" t="s">
        <v>6</v>
      </c>
      <c r="I555" s="2" t="s">
        <v>7</v>
      </c>
      <c r="J555" s="2" t="s">
        <v>8</v>
      </c>
      <c r="K555" s="2" t="s">
        <v>9</v>
      </c>
      <c r="L555" s="2" t="s">
        <v>10</v>
      </c>
      <c r="M555" s="2" t="s">
        <v>11</v>
      </c>
      <c r="N555" s="2" t="s">
        <v>12</v>
      </c>
      <c r="O555" s="2" t="s">
        <v>13</v>
      </c>
      <c r="P555" s="2" t="s">
        <v>14</v>
      </c>
      <c r="Q555" s="3" t="s">
        <v>15</v>
      </c>
    </row>
    <row r="556" spans="2:17" ht="15.6" customHeight="1" x14ac:dyDescent="0.25">
      <c r="B556" s="104"/>
      <c r="C556" s="37">
        <v>235</v>
      </c>
      <c r="D556" s="32">
        <v>43.4</v>
      </c>
      <c r="E556" s="2">
        <v>1.4179999999999999</v>
      </c>
      <c r="F556" s="2">
        <v>1</v>
      </c>
      <c r="G556" s="2">
        <v>1.23</v>
      </c>
      <c r="H556" s="2">
        <v>1.0129999999999999</v>
      </c>
      <c r="I556" s="2">
        <v>1</v>
      </c>
      <c r="J556" s="2">
        <v>0</v>
      </c>
      <c r="K556" s="6">
        <v>0.18</v>
      </c>
      <c r="L556" s="2" t="e">
        <f>L530+#REF!</f>
        <v>#REF!</v>
      </c>
      <c r="M556" s="7" t="e">
        <f>(C556*H556)*E556*F556*G556*I556+J556+L556</f>
        <v>#REF!</v>
      </c>
      <c r="N556" s="8" t="e">
        <f>((M556/1.21)-L556)*0.18</f>
        <v>#REF!</v>
      </c>
      <c r="O556" s="9">
        <v>0</v>
      </c>
      <c r="P556" s="8" t="e">
        <f>(1-O556)*C556*F556+(D556*F556)+N556</f>
        <v>#REF!</v>
      </c>
      <c r="Q556" s="36" t="e">
        <f>(M556/1.21-P556)/(M556/1.21)</f>
        <v>#REF!</v>
      </c>
    </row>
    <row r="557" spans="2:17" ht="15.6" customHeight="1" x14ac:dyDescent="0.25">
      <c r="B557" s="104"/>
      <c r="C557" s="37">
        <v>331</v>
      </c>
      <c r="D557" s="32">
        <v>62.69</v>
      </c>
      <c r="E557" s="2">
        <v>1.4179999999999999</v>
      </c>
      <c r="F557" s="2">
        <v>1</v>
      </c>
      <c r="G557" s="2">
        <v>1.23</v>
      </c>
      <c r="H557" s="2">
        <v>-100</v>
      </c>
      <c r="I557" s="2">
        <v>1</v>
      </c>
      <c r="J557" s="2">
        <v>0</v>
      </c>
      <c r="K557" s="6">
        <v>0.18</v>
      </c>
      <c r="L557" s="2" t="e">
        <f>L531+#REF!</f>
        <v>#REF!</v>
      </c>
      <c r="M557" s="7" t="e">
        <f>(C557+H557)*E557*F557*G557*I557+J557+L557</f>
        <v>#REF!</v>
      </c>
      <c r="N557" s="8" t="e">
        <f>((M557/1.21)-L557)*0.18</f>
        <v>#REF!</v>
      </c>
      <c r="O557" s="9">
        <v>0</v>
      </c>
      <c r="P557" s="8" t="e">
        <f t="shared" ref="P557:P565" si="122">(1-O557)*C557*F557+(D557*F557)+N557</f>
        <v>#REF!</v>
      </c>
      <c r="Q557" s="36" t="e">
        <f>(M557/1.21-P557)/(M557/1.21)</f>
        <v>#REF!</v>
      </c>
    </row>
    <row r="558" spans="2:17" ht="15.6" customHeight="1" x14ac:dyDescent="0.25">
      <c r="B558" s="104"/>
      <c r="C558" s="37">
        <v>1010</v>
      </c>
      <c r="D558" s="32">
        <v>81.97999999999999</v>
      </c>
      <c r="E558" s="2">
        <v>1.4179999999999999</v>
      </c>
      <c r="F558" s="2">
        <v>1</v>
      </c>
      <c r="G558" s="2">
        <v>1.23</v>
      </c>
      <c r="H558" s="2">
        <v>-190</v>
      </c>
      <c r="I558" s="2">
        <v>1</v>
      </c>
      <c r="J558" s="2">
        <v>0</v>
      </c>
      <c r="K558" s="6">
        <v>0.18</v>
      </c>
      <c r="L558" s="2" t="e">
        <f>L532+#REF!</f>
        <v>#REF!</v>
      </c>
      <c r="M558" s="7" t="e">
        <f>(C558+H558)*E558*F558*G558*I558+J558+L558</f>
        <v>#REF!</v>
      </c>
      <c r="N558" s="8" t="e">
        <f t="shared" ref="N558:N562" si="123">((M558/1.21)-L558)*0.18</f>
        <v>#REF!</v>
      </c>
      <c r="O558" s="9">
        <v>0</v>
      </c>
      <c r="P558" s="8" t="e">
        <f t="shared" si="122"/>
        <v>#REF!</v>
      </c>
      <c r="Q558" s="36" t="e">
        <f t="shared" ref="Q558:Q562" si="124">(M558/1.21-P558)/(M558/1.21)</f>
        <v>#REF!</v>
      </c>
    </row>
    <row r="559" spans="2:17" ht="15.6" customHeight="1" x14ac:dyDescent="0.25">
      <c r="B559" s="104"/>
      <c r="C559" s="37">
        <v>1235</v>
      </c>
      <c r="D559" s="32">
        <v>101.26999999999998</v>
      </c>
      <c r="E559" s="2">
        <v>1.4179999999999999</v>
      </c>
      <c r="F559" s="2">
        <v>1</v>
      </c>
      <c r="G559" s="2">
        <v>1.23</v>
      </c>
      <c r="H559" s="2">
        <v>-340</v>
      </c>
      <c r="I559" s="2">
        <v>1</v>
      </c>
      <c r="J559" s="2">
        <v>0</v>
      </c>
      <c r="K559" s="6">
        <v>0.18</v>
      </c>
      <c r="L559" s="2" t="e">
        <f>L533+#REF!</f>
        <v>#REF!</v>
      </c>
      <c r="M559" s="7" t="e">
        <f t="shared" ref="M559:M562" si="125">(C559+H559)*E559*F559*G559*I559+J559+L559</f>
        <v>#REF!</v>
      </c>
      <c r="N559" s="8" t="e">
        <f t="shared" si="123"/>
        <v>#REF!</v>
      </c>
      <c r="O559" s="9">
        <v>0</v>
      </c>
      <c r="P559" s="8" t="e">
        <f t="shared" si="122"/>
        <v>#REF!</v>
      </c>
      <c r="Q559" s="36" t="e">
        <f t="shared" si="124"/>
        <v>#REF!</v>
      </c>
    </row>
    <row r="560" spans="2:17" ht="15.6" customHeight="1" x14ac:dyDescent="0.25">
      <c r="B560" s="104"/>
      <c r="C560" s="37">
        <v>2199</v>
      </c>
      <c r="D560" s="32">
        <v>120.55999999999997</v>
      </c>
      <c r="E560" s="2">
        <v>1.4179999999999999</v>
      </c>
      <c r="F560" s="2">
        <v>1</v>
      </c>
      <c r="G560" s="2">
        <v>1.23</v>
      </c>
      <c r="H560" s="2">
        <v>-490</v>
      </c>
      <c r="I560" s="2">
        <v>1</v>
      </c>
      <c r="J560" s="2">
        <v>0</v>
      </c>
      <c r="K560" s="6">
        <v>0.18</v>
      </c>
      <c r="L560" s="2" t="e">
        <f>L534+#REF!</f>
        <v>#REF!</v>
      </c>
      <c r="M560" s="7" t="e">
        <f t="shared" si="125"/>
        <v>#REF!</v>
      </c>
      <c r="N560" s="8" t="e">
        <f t="shared" si="123"/>
        <v>#REF!</v>
      </c>
      <c r="O560" s="9">
        <v>0</v>
      </c>
      <c r="P560" s="8" t="e">
        <f t="shared" si="122"/>
        <v>#REF!</v>
      </c>
      <c r="Q560" s="36" t="e">
        <f t="shared" si="124"/>
        <v>#REF!</v>
      </c>
    </row>
    <row r="561" spans="2:17" ht="15.6" customHeight="1" x14ac:dyDescent="0.25">
      <c r="B561" s="104"/>
      <c r="C561" s="37">
        <v>3092</v>
      </c>
      <c r="D561" s="32">
        <v>139.84999999999997</v>
      </c>
      <c r="E561" s="2">
        <v>1.4179999999999999</v>
      </c>
      <c r="F561" s="2">
        <v>1</v>
      </c>
      <c r="G561" s="2">
        <v>1.23</v>
      </c>
      <c r="H561" s="2">
        <v>-630</v>
      </c>
      <c r="I561" s="2">
        <v>1</v>
      </c>
      <c r="J561" s="2">
        <v>0</v>
      </c>
      <c r="K561" s="6">
        <v>0.18</v>
      </c>
      <c r="L561" s="2" t="e">
        <f>L535+#REF!</f>
        <v>#REF!</v>
      </c>
      <c r="M561" s="7" t="e">
        <f t="shared" si="125"/>
        <v>#REF!</v>
      </c>
      <c r="N561" s="8" t="e">
        <f t="shared" si="123"/>
        <v>#REF!</v>
      </c>
      <c r="O561" s="9">
        <v>0</v>
      </c>
      <c r="P561" s="8" t="e">
        <f t="shared" si="122"/>
        <v>#REF!</v>
      </c>
      <c r="Q561" s="36" t="e">
        <f t="shared" si="124"/>
        <v>#REF!</v>
      </c>
    </row>
    <row r="562" spans="2:17" ht="15.6" customHeight="1" x14ac:dyDescent="0.25">
      <c r="B562" s="104"/>
      <c r="C562" s="37">
        <v>3849</v>
      </c>
      <c r="D562" s="32">
        <v>159.13999999999996</v>
      </c>
      <c r="E562" s="2">
        <v>1.4179999999999999</v>
      </c>
      <c r="F562" s="2">
        <v>1</v>
      </c>
      <c r="G562" s="2">
        <v>1.23</v>
      </c>
      <c r="H562" s="2">
        <v>-740</v>
      </c>
      <c r="I562" s="2">
        <v>1</v>
      </c>
      <c r="J562" s="2">
        <v>0</v>
      </c>
      <c r="K562" s="6">
        <v>0.18</v>
      </c>
      <c r="L562" s="2" t="e">
        <f>L536+#REF!</f>
        <v>#REF!</v>
      </c>
      <c r="M562" s="7" t="e">
        <f t="shared" si="125"/>
        <v>#REF!</v>
      </c>
      <c r="N562" s="8" t="e">
        <f t="shared" si="123"/>
        <v>#REF!</v>
      </c>
      <c r="O562" s="9">
        <v>0</v>
      </c>
      <c r="P562" s="8" t="e">
        <f t="shared" si="122"/>
        <v>#REF!</v>
      </c>
      <c r="Q562" s="36" t="e">
        <f t="shared" si="124"/>
        <v>#REF!</v>
      </c>
    </row>
    <row r="563" spans="2:17" ht="15.6" customHeight="1" x14ac:dyDescent="0.25">
      <c r="B563" s="104"/>
      <c r="C563" s="37">
        <v>5033</v>
      </c>
      <c r="D563" s="32">
        <v>178.42999999999995</v>
      </c>
      <c r="E563" s="2">
        <v>1.4179999999999999</v>
      </c>
      <c r="F563" s="2">
        <v>1</v>
      </c>
      <c r="G563" s="2">
        <v>1.23</v>
      </c>
      <c r="H563" s="2">
        <v>-820</v>
      </c>
      <c r="I563" s="2">
        <v>1</v>
      </c>
      <c r="J563" s="2">
        <v>0</v>
      </c>
      <c r="K563" s="6">
        <v>0.18</v>
      </c>
      <c r="L563" s="2" t="e">
        <f>L537+#REF!</f>
        <v>#REF!</v>
      </c>
      <c r="M563" s="7" t="e">
        <f>(C563+H563)*E563*F563*G563*I563+J563+L563</f>
        <v>#REF!</v>
      </c>
      <c r="N563" s="8" t="e">
        <f>((M563/1.21)-L563)*0.18</f>
        <v>#REF!</v>
      </c>
      <c r="O563" s="9">
        <v>0</v>
      </c>
      <c r="P563" s="8" t="e">
        <f t="shared" si="122"/>
        <v>#REF!</v>
      </c>
      <c r="Q563" s="36" t="e">
        <f>(M563/1.21-P563)/(M563/1.21)</f>
        <v>#REF!</v>
      </c>
    </row>
    <row r="564" spans="2:17" ht="15.6" customHeight="1" x14ac:dyDescent="0.25">
      <c r="B564" s="104"/>
      <c r="C564" s="37">
        <v>6496</v>
      </c>
      <c r="D564" s="32">
        <v>197.71999999999994</v>
      </c>
      <c r="E564" s="2">
        <v>1.4179999999999999</v>
      </c>
      <c r="F564" s="2">
        <v>1</v>
      </c>
      <c r="G564" s="2">
        <v>1.23</v>
      </c>
      <c r="H564" s="2">
        <v>-980</v>
      </c>
      <c r="I564" s="2">
        <v>1</v>
      </c>
      <c r="J564" s="2">
        <v>0</v>
      </c>
      <c r="K564" s="6">
        <v>0.18</v>
      </c>
      <c r="L564" s="2" t="e">
        <f>L538+#REF!</f>
        <v>#REF!</v>
      </c>
      <c r="M564" s="7" t="e">
        <f>(C564+H564)*E564*F564*G564*I564+J564+L564</f>
        <v>#REF!</v>
      </c>
      <c r="N564" s="8" t="e">
        <f>((M564/1.21)-L564)*0.18</f>
        <v>#REF!</v>
      </c>
      <c r="O564" s="9">
        <v>0</v>
      </c>
      <c r="P564" s="8" t="e">
        <f t="shared" si="122"/>
        <v>#REF!</v>
      </c>
      <c r="Q564" s="36" t="e">
        <f>(M564/1.21-P564)/(M564/1.21)</f>
        <v>#REF!</v>
      </c>
    </row>
    <row r="565" spans="2:17" ht="15.6" customHeight="1" thickBot="1" x14ac:dyDescent="0.3">
      <c r="B565" s="105"/>
      <c r="C565" s="37">
        <v>11031</v>
      </c>
      <c r="D565" s="32">
        <v>217.00999999999993</v>
      </c>
      <c r="E565" s="2">
        <v>1.4179999999999999</v>
      </c>
      <c r="F565" s="2">
        <v>1</v>
      </c>
      <c r="G565" s="2">
        <v>1.23</v>
      </c>
      <c r="H565" s="2">
        <v>-1300</v>
      </c>
      <c r="I565" s="2">
        <v>1</v>
      </c>
      <c r="J565" s="2">
        <v>0</v>
      </c>
      <c r="K565" s="6">
        <v>0.18</v>
      </c>
      <c r="L565" s="2" t="e">
        <f>L539+#REF!</f>
        <v>#REF!</v>
      </c>
      <c r="M565" s="7" t="e">
        <f>(C565+H565)*E565*F565*G565*I565+J565+L565</f>
        <v>#REF!</v>
      </c>
      <c r="N565" s="8" t="e">
        <f>((M565/1.21)-L565)*0.18</f>
        <v>#REF!</v>
      </c>
      <c r="O565" s="9">
        <v>0</v>
      </c>
      <c r="P565" s="8" t="e">
        <f t="shared" si="122"/>
        <v>#REF!</v>
      </c>
      <c r="Q565" s="36" t="e">
        <f>(M565/1.21-P565)/(M565/1.21)</f>
        <v>#REF!</v>
      </c>
    </row>
  </sheetData>
  <mergeCells count="99">
    <mergeCell ref="C390:Q390"/>
    <mergeCell ref="B515:B539"/>
    <mergeCell ref="C515:Q515"/>
    <mergeCell ref="C528:Q528"/>
    <mergeCell ref="B541:B565"/>
    <mergeCell ref="C541:Q541"/>
    <mergeCell ref="C554:Q554"/>
    <mergeCell ref="B398:B412"/>
    <mergeCell ref="C398:Q398"/>
    <mergeCell ref="C406:Q406"/>
    <mergeCell ref="B382:B396"/>
    <mergeCell ref="C382:Q382"/>
    <mergeCell ref="B498:B513"/>
    <mergeCell ref="C498:Q498"/>
    <mergeCell ref="C507:Q507"/>
    <mergeCell ref="C480:Q480"/>
    <mergeCell ref="B349:B363"/>
    <mergeCell ref="C248:Q248"/>
    <mergeCell ref="C256:Q256"/>
    <mergeCell ref="B297:B312"/>
    <mergeCell ref="C297:Q297"/>
    <mergeCell ref="C306:Q306"/>
    <mergeCell ref="B280:B294"/>
    <mergeCell ref="C280:Q280"/>
    <mergeCell ref="C288:Q288"/>
    <mergeCell ref="C332:Q332"/>
    <mergeCell ref="C340:Q340"/>
    <mergeCell ref="B264:B278"/>
    <mergeCell ref="C264:Q264"/>
    <mergeCell ref="C272:Q272"/>
    <mergeCell ref="B248:B262"/>
    <mergeCell ref="C489:Q489"/>
    <mergeCell ref="C439:Q439"/>
    <mergeCell ref="C471:Q471"/>
    <mergeCell ref="B414:B428"/>
    <mergeCell ref="C414:Q414"/>
    <mergeCell ref="C422:Q422"/>
    <mergeCell ref="B447:B461"/>
    <mergeCell ref="C447:Q447"/>
    <mergeCell ref="C455:Q455"/>
    <mergeCell ref="B168:B182"/>
    <mergeCell ref="C168:Q168"/>
    <mergeCell ref="B463:B477"/>
    <mergeCell ref="C463:Q463"/>
    <mergeCell ref="B480:B495"/>
    <mergeCell ref="C323:Q323"/>
    <mergeCell ref="B315:B329"/>
    <mergeCell ref="C315:Q315"/>
    <mergeCell ref="B332:B346"/>
    <mergeCell ref="B431:B445"/>
    <mergeCell ref="C431:Q431"/>
    <mergeCell ref="C374:Q374"/>
    <mergeCell ref="C349:Q349"/>
    <mergeCell ref="C357:Q357"/>
    <mergeCell ref="B366:B380"/>
    <mergeCell ref="C366:Q366"/>
    <mergeCell ref="B184:B198"/>
    <mergeCell ref="C184:Q184"/>
    <mergeCell ref="C192:Q192"/>
    <mergeCell ref="B200:B214"/>
    <mergeCell ref="C200:Q200"/>
    <mergeCell ref="C208:Q208"/>
    <mergeCell ref="B216:B230"/>
    <mergeCell ref="C216:Q216"/>
    <mergeCell ref="C224:Q224"/>
    <mergeCell ref="B232:B246"/>
    <mergeCell ref="C232:Q232"/>
    <mergeCell ref="C240:Q240"/>
    <mergeCell ref="C176:Q176"/>
    <mergeCell ref="B86:B100"/>
    <mergeCell ref="C86:Q86"/>
    <mergeCell ref="C94:Q94"/>
    <mergeCell ref="B103:B117"/>
    <mergeCell ref="C103:Q103"/>
    <mergeCell ref="C111:Q111"/>
    <mergeCell ref="B119:B133"/>
    <mergeCell ref="C119:Q119"/>
    <mergeCell ref="C127:Q127"/>
    <mergeCell ref="B152:B166"/>
    <mergeCell ref="C152:Q152"/>
    <mergeCell ref="C160:Q160"/>
    <mergeCell ref="B136:B150"/>
    <mergeCell ref="C136:Q136"/>
    <mergeCell ref="C144:Q144"/>
    <mergeCell ref="B3:B17"/>
    <mergeCell ref="C3:Q3"/>
    <mergeCell ref="C11:Q11"/>
    <mergeCell ref="B69:B83"/>
    <mergeCell ref="C69:Q69"/>
    <mergeCell ref="C77:Q77"/>
    <mergeCell ref="B35:B49"/>
    <mergeCell ref="C35:Q35"/>
    <mergeCell ref="C43:Q43"/>
    <mergeCell ref="B19:B33"/>
    <mergeCell ref="C19:Q19"/>
    <mergeCell ref="C27:Q27"/>
    <mergeCell ref="B52:B66"/>
    <mergeCell ref="C52:Q52"/>
    <mergeCell ref="C60:Q6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B9A5-54F7-49CE-A80E-F3C8FB74D9B8}">
  <dimension ref="B1:Q121"/>
  <sheetViews>
    <sheetView tabSelected="1" topLeftCell="A82" zoomScale="70" zoomScaleNormal="70" workbookViewId="0">
      <selection activeCell="F122" sqref="F122"/>
    </sheetView>
  </sheetViews>
  <sheetFormatPr defaultRowHeight="15" x14ac:dyDescent="0.25"/>
  <cols>
    <col min="3" max="3" width="22.140625" bestFit="1" customWidth="1"/>
    <col min="4" max="4" width="19" bestFit="1" customWidth="1"/>
    <col min="5" max="5" width="9.85546875" bestFit="1" customWidth="1"/>
    <col min="6" max="6" width="7.42578125" bestFit="1" customWidth="1"/>
    <col min="7" max="7" width="21.42578125" bestFit="1" customWidth="1"/>
    <col min="8" max="8" width="13.7109375" bestFit="1" customWidth="1"/>
    <col min="9" max="9" width="17.7109375" bestFit="1" customWidth="1"/>
    <col min="10" max="10" width="12.42578125" bestFit="1" customWidth="1"/>
    <col min="11" max="11" width="13.7109375" bestFit="1" customWidth="1"/>
    <col min="12" max="13" width="28.7109375" bestFit="1" customWidth="1"/>
    <col min="14" max="14" width="25.5703125" bestFit="1" customWidth="1"/>
    <col min="15" max="15" width="14.42578125" bestFit="1" customWidth="1"/>
    <col min="16" max="16" width="29.140625" bestFit="1" customWidth="1"/>
    <col min="17" max="17" width="11.28515625" bestFit="1" customWidth="1"/>
  </cols>
  <sheetData>
    <row r="1" spans="2:17" x14ac:dyDescent="0.25">
      <c r="B1" s="103" t="s">
        <v>104</v>
      </c>
      <c r="C1" s="125" t="s">
        <v>102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87" t="s">
        <v>121</v>
      </c>
      <c r="Q1" s="88"/>
    </row>
    <row r="2" spans="2:17" ht="15.75" thickBot="1" x14ac:dyDescent="0.3">
      <c r="B2" s="104"/>
      <c r="C2" s="128" t="s">
        <v>111</v>
      </c>
      <c r="D2" s="129"/>
      <c r="E2" s="129" t="s">
        <v>112</v>
      </c>
      <c r="F2" s="129"/>
      <c r="O2" s="18"/>
      <c r="P2" s="89">
        <v>1.2</v>
      </c>
      <c r="Q2" s="88"/>
    </row>
    <row r="3" spans="2:17" x14ac:dyDescent="0.25">
      <c r="B3" s="104"/>
      <c r="C3" s="28" t="s">
        <v>113</v>
      </c>
      <c r="D3" t="s">
        <v>114</v>
      </c>
      <c r="E3" t="s">
        <v>113</v>
      </c>
      <c r="F3" t="s">
        <v>114</v>
      </c>
      <c r="G3" t="s">
        <v>1</v>
      </c>
      <c r="H3" t="s">
        <v>115</v>
      </c>
      <c r="I3" t="s">
        <v>116</v>
      </c>
      <c r="J3" t="s">
        <v>117</v>
      </c>
      <c r="K3" t="s">
        <v>118</v>
      </c>
      <c r="L3" t="s">
        <v>11</v>
      </c>
      <c r="M3" t="s">
        <v>10</v>
      </c>
      <c r="N3" t="s">
        <v>9</v>
      </c>
      <c r="O3" s="18" t="s">
        <v>15</v>
      </c>
      <c r="P3" t="s">
        <v>119</v>
      </c>
      <c r="Q3" t="s">
        <v>120</v>
      </c>
    </row>
    <row r="4" spans="2:17" x14ac:dyDescent="0.25">
      <c r="B4" s="104"/>
      <c r="C4" s="28">
        <v>0</v>
      </c>
      <c r="D4">
        <v>32</v>
      </c>
      <c r="E4">
        <v>0</v>
      </c>
      <c r="F4">
        <f>ROUND(D4/(I4*J4),2)</f>
        <v>18.45</v>
      </c>
      <c r="G4" s="47">
        <f>ROUND(AVERAGE(E4:F4),2)</f>
        <v>9.23</v>
      </c>
      <c r="H4" s="47">
        <v>0</v>
      </c>
      <c r="I4" s="47">
        <v>1.41</v>
      </c>
      <c r="J4" s="47">
        <v>1.23</v>
      </c>
      <c r="K4" s="47">
        <v>0</v>
      </c>
      <c r="L4" s="47">
        <f t="shared" ref="L4:L18" si="0">ROUND((G4*I4*J4),0)+K4+M4</f>
        <v>16</v>
      </c>
      <c r="M4" s="47">
        <v>0</v>
      </c>
      <c r="N4" s="47">
        <f>(L4-M4)/$P$2*0.18</f>
        <v>2.4</v>
      </c>
      <c r="O4" s="62">
        <f>(L4/$P$2-N4-G4)/(L4/$P$2)</f>
        <v>0.12774999999999997</v>
      </c>
      <c r="P4" s="85">
        <v>0</v>
      </c>
      <c r="Q4" s="85">
        <f>F4*I4*J4+K4</f>
        <v>31.997834999999998</v>
      </c>
    </row>
    <row r="5" spans="2:17" x14ac:dyDescent="0.25">
      <c r="B5" s="104"/>
      <c r="C5" s="28">
        <v>32</v>
      </c>
      <c r="D5">
        <v>51</v>
      </c>
      <c r="E5">
        <f>F4</f>
        <v>18.45</v>
      </c>
      <c r="F5">
        <f t="shared" ref="F5:F17" si="1">ROUND(D5/(I5*J5),2)</f>
        <v>29.41</v>
      </c>
      <c r="G5" s="47">
        <f t="shared" ref="G5:G17" si="2">ROUND(AVERAGE(E5:F5),2)</f>
        <v>23.93</v>
      </c>
      <c r="H5" s="47">
        <v>0</v>
      </c>
      <c r="I5" s="47">
        <v>1.41</v>
      </c>
      <c r="J5" s="47">
        <v>1.23</v>
      </c>
      <c r="K5" s="85">
        <v>-11</v>
      </c>
      <c r="L5" s="47">
        <f t="shared" si="0"/>
        <v>39</v>
      </c>
      <c r="M5" s="47">
        <v>8</v>
      </c>
      <c r="N5" s="47">
        <f t="shared" ref="N5:N18" si="3">(L5-M5)/$P$2*0.18</f>
        <v>4.6500000000000004</v>
      </c>
      <c r="O5" s="62">
        <f t="shared" ref="O5:O18" si="4">(L5/$P$2-N5-G5)/(L5/$P$2)</f>
        <v>0.12061538461538467</v>
      </c>
      <c r="P5" s="85">
        <f>E5*I5*J5+K5</f>
        <v>20.997834999999998</v>
      </c>
      <c r="Q5" s="85">
        <f>F5*I5*J5+K5</f>
        <v>40.005763000000002</v>
      </c>
    </row>
    <row r="6" spans="2:17" x14ac:dyDescent="0.25">
      <c r="B6" s="104"/>
      <c r="C6" s="28">
        <v>51</v>
      </c>
      <c r="D6">
        <v>80</v>
      </c>
      <c r="E6">
        <f t="shared" ref="E6:E18" si="5">F5</f>
        <v>29.41</v>
      </c>
      <c r="F6">
        <f t="shared" si="1"/>
        <v>46.13</v>
      </c>
      <c r="G6" s="47">
        <f t="shared" si="2"/>
        <v>37.770000000000003</v>
      </c>
      <c r="H6" s="47">
        <v>0</v>
      </c>
      <c r="I6" s="47">
        <v>1.41</v>
      </c>
      <c r="J6" s="47">
        <v>1.23</v>
      </c>
      <c r="K6" s="85">
        <v>-21</v>
      </c>
      <c r="L6" s="47">
        <f t="shared" si="0"/>
        <v>59</v>
      </c>
      <c r="M6" s="47">
        <v>14</v>
      </c>
      <c r="N6" s="47">
        <f t="shared" si="3"/>
        <v>6.75</v>
      </c>
      <c r="O6" s="62">
        <f t="shared" si="4"/>
        <v>9.4508474576271206E-2</v>
      </c>
      <c r="P6" s="85">
        <f t="shared" ref="P6:P37" si="6">E6*I6*J6+K6</f>
        <v>30.005763000000002</v>
      </c>
      <c r="Q6" s="85">
        <f t="shared" ref="Q6:Q17" si="7">F6*I6*J6+K6</f>
        <v>59.003259</v>
      </c>
    </row>
    <row r="7" spans="2:17" x14ac:dyDescent="0.25">
      <c r="B7" s="104"/>
      <c r="C7" s="28">
        <v>80</v>
      </c>
      <c r="D7">
        <v>120</v>
      </c>
      <c r="E7">
        <f t="shared" si="5"/>
        <v>46.13</v>
      </c>
      <c r="F7">
        <f t="shared" si="1"/>
        <v>69.19</v>
      </c>
      <c r="G7" s="47">
        <f t="shared" si="2"/>
        <v>57.66</v>
      </c>
      <c r="H7" s="47">
        <v>0</v>
      </c>
      <c r="I7" s="47">
        <v>1.41</v>
      </c>
      <c r="J7" s="47">
        <v>1.23</v>
      </c>
      <c r="K7" s="85">
        <v>-28</v>
      </c>
      <c r="L7" s="47">
        <f t="shared" si="0"/>
        <v>91</v>
      </c>
      <c r="M7" s="47">
        <v>19</v>
      </c>
      <c r="N7" s="47">
        <f t="shared" si="3"/>
        <v>10.799999999999999</v>
      </c>
      <c r="O7" s="62">
        <f t="shared" si="4"/>
        <v>9.7230769230769426E-2</v>
      </c>
      <c r="P7" s="85">
        <f t="shared" si="6"/>
        <v>52.003259</v>
      </c>
      <c r="Q7" s="85">
        <f t="shared" si="7"/>
        <v>91.996216999999987</v>
      </c>
    </row>
    <row r="8" spans="2:17" x14ac:dyDescent="0.25">
      <c r="B8" s="104"/>
      <c r="C8" s="28">
        <v>120</v>
      </c>
      <c r="D8">
        <v>160</v>
      </c>
      <c r="E8">
        <f t="shared" si="5"/>
        <v>69.19</v>
      </c>
      <c r="F8">
        <f t="shared" si="1"/>
        <v>92.26</v>
      </c>
      <c r="G8" s="47">
        <f t="shared" si="2"/>
        <v>80.73</v>
      </c>
      <c r="H8" s="47">
        <v>0</v>
      </c>
      <c r="I8" s="47">
        <v>1.41</v>
      </c>
      <c r="J8" s="47">
        <v>1.23</v>
      </c>
      <c r="K8" s="85">
        <v>-35</v>
      </c>
      <c r="L8" s="47">
        <f t="shared" si="0"/>
        <v>128</v>
      </c>
      <c r="M8" s="47">
        <v>23</v>
      </c>
      <c r="N8" s="47">
        <f t="shared" si="3"/>
        <v>15.75</v>
      </c>
      <c r="O8" s="62">
        <f t="shared" si="4"/>
        <v>9.5500000000000002E-2</v>
      </c>
      <c r="P8" s="85">
        <f t="shared" si="6"/>
        <v>84.996216999999987</v>
      </c>
      <c r="Q8" s="85">
        <f t="shared" si="7"/>
        <v>125.006518</v>
      </c>
    </row>
    <row r="9" spans="2:17" x14ac:dyDescent="0.25">
      <c r="B9" s="104"/>
      <c r="C9" s="28">
        <v>160</v>
      </c>
      <c r="D9">
        <v>200</v>
      </c>
      <c r="E9">
        <f t="shared" si="5"/>
        <v>92.26</v>
      </c>
      <c r="F9">
        <f t="shared" si="1"/>
        <v>115.32</v>
      </c>
      <c r="G9" s="47">
        <f t="shared" si="2"/>
        <v>103.79</v>
      </c>
      <c r="H9" s="47">
        <v>0</v>
      </c>
      <c r="I9" s="47">
        <v>1.41</v>
      </c>
      <c r="J9" s="47">
        <v>1.23</v>
      </c>
      <c r="K9" s="85">
        <v>-44</v>
      </c>
      <c r="L9" s="47">
        <f t="shared" si="0"/>
        <v>163</v>
      </c>
      <c r="M9" s="47">
        <v>27</v>
      </c>
      <c r="N9" s="47">
        <f t="shared" si="3"/>
        <v>20.400000000000002</v>
      </c>
      <c r="O9" s="62">
        <f t="shared" si="4"/>
        <v>8.5717791411042923E-2</v>
      </c>
      <c r="P9" s="85">
        <f t="shared" si="6"/>
        <v>116.006518</v>
      </c>
      <c r="Q9" s="85">
        <f t="shared" si="7"/>
        <v>155.99947599999996</v>
      </c>
    </row>
    <row r="10" spans="2:17" x14ac:dyDescent="0.25">
      <c r="B10" s="104"/>
      <c r="C10" s="28">
        <v>200</v>
      </c>
      <c r="D10">
        <v>240</v>
      </c>
      <c r="E10">
        <f t="shared" si="5"/>
        <v>115.32</v>
      </c>
      <c r="F10">
        <f t="shared" si="1"/>
        <v>138.38</v>
      </c>
      <c r="G10" s="47">
        <f t="shared" si="2"/>
        <v>126.85</v>
      </c>
      <c r="H10" s="47">
        <v>0</v>
      </c>
      <c r="I10" s="47">
        <v>1.41</v>
      </c>
      <c r="J10" s="47">
        <v>1.23</v>
      </c>
      <c r="K10" s="85">
        <v>-54</v>
      </c>
      <c r="L10" s="47">
        <f t="shared" si="0"/>
        <v>199</v>
      </c>
      <c r="M10" s="47">
        <v>33</v>
      </c>
      <c r="N10" s="47">
        <f t="shared" si="3"/>
        <v>24.900000000000002</v>
      </c>
      <c r="O10" s="62">
        <f t="shared" si="4"/>
        <v>8.4924623115577941E-2</v>
      </c>
      <c r="P10" s="85">
        <f t="shared" si="6"/>
        <v>145.99947599999996</v>
      </c>
      <c r="Q10" s="85">
        <f t="shared" si="7"/>
        <v>185.99243399999997</v>
      </c>
    </row>
    <row r="11" spans="2:17" x14ac:dyDescent="0.25">
      <c r="B11" s="104"/>
      <c r="C11" s="28">
        <v>240</v>
      </c>
      <c r="D11">
        <v>280</v>
      </c>
      <c r="E11">
        <f t="shared" si="5"/>
        <v>138.38</v>
      </c>
      <c r="F11">
        <f t="shared" si="1"/>
        <v>161.44999999999999</v>
      </c>
      <c r="G11" s="47">
        <f t="shared" si="2"/>
        <v>149.91999999999999</v>
      </c>
      <c r="H11" s="47">
        <v>0</v>
      </c>
      <c r="I11" s="47">
        <v>1.41</v>
      </c>
      <c r="J11" s="47">
        <v>1.23</v>
      </c>
      <c r="K11" s="85">
        <v>-61</v>
      </c>
      <c r="L11" s="47">
        <f t="shared" si="0"/>
        <v>235</v>
      </c>
      <c r="M11" s="47">
        <v>36</v>
      </c>
      <c r="N11" s="47">
        <f t="shared" si="3"/>
        <v>29.85</v>
      </c>
      <c r="O11" s="62">
        <f t="shared" si="4"/>
        <v>8.2025531914893757E-2</v>
      </c>
      <c r="P11" s="85">
        <f t="shared" si="6"/>
        <v>178.99243399999997</v>
      </c>
      <c r="Q11" s="85">
        <f t="shared" si="7"/>
        <v>219.00273499999997</v>
      </c>
    </row>
    <row r="12" spans="2:17" x14ac:dyDescent="0.25">
      <c r="B12" s="104"/>
      <c r="C12" s="28">
        <v>280</v>
      </c>
      <c r="D12">
        <v>425</v>
      </c>
      <c r="E12">
        <f t="shared" si="5"/>
        <v>161.44999999999999</v>
      </c>
      <c r="F12">
        <f t="shared" si="1"/>
        <v>245.06</v>
      </c>
      <c r="G12" s="47">
        <f t="shared" si="2"/>
        <v>203.26</v>
      </c>
      <c r="H12" s="47">
        <v>0</v>
      </c>
      <c r="I12" s="47">
        <v>1.41</v>
      </c>
      <c r="J12" s="47">
        <v>1.23</v>
      </c>
      <c r="K12" s="85">
        <v>-73</v>
      </c>
      <c r="L12" s="47">
        <f t="shared" si="0"/>
        <v>319</v>
      </c>
      <c r="M12" s="47">
        <v>39</v>
      </c>
      <c r="N12" s="47">
        <f t="shared" si="3"/>
        <v>42</v>
      </c>
      <c r="O12" s="62">
        <f t="shared" si="4"/>
        <v>7.7391849529780732E-2</v>
      </c>
      <c r="P12" s="85">
        <f t="shared" si="6"/>
        <v>207.00273499999997</v>
      </c>
      <c r="Q12" s="85">
        <f t="shared" si="7"/>
        <v>352.00755800000002</v>
      </c>
    </row>
    <row r="13" spans="2:17" x14ac:dyDescent="0.25">
      <c r="B13" s="104"/>
      <c r="C13" s="28">
        <v>425</v>
      </c>
      <c r="D13">
        <v>500</v>
      </c>
      <c r="E13">
        <f t="shared" si="5"/>
        <v>245.06</v>
      </c>
      <c r="F13">
        <f t="shared" si="1"/>
        <v>288.3</v>
      </c>
      <c r="G13" s="47">
        <f t="shared" si="2"/>
        <v>266.68</v>
      </c>
      <c r="H13" s="47">
        <v>0</v>
      </c>
      <c r="I13" s="47">
        <v>1.41</v>
      </c>
      <c r="J13" s="47">
        <v>1.23</v>
      </c>
      <c r="K13" s="85">
        <v>-87</v>
      </c>
      <c r="L13" s="47">
        <f t="shared" si="0"/>
        <v>419</v>
      </c>
      <c r="M13" s="47">
        <v>43</v>
      </c>
      <c r="N13" s="47">
        <f t="shared" si="3"/>
        <v>56.400000000000006</v>
      </c>
      <c r="O13" s="62">
        <f t="shared" si="4"/>
        <v>7.4711217183770814E-2</v>
      </c>
      <c r="P13" s="85">
        <f t="shared" si="6"/>
        <v>338.00755800000002</v>
      </c>
      <c r="Q13" s="85">
        <f t="shared" si="7"/>
        <v>412.99868999999995</v>
      </c>
    </row>
    <row r="14" spans="2:17" x14ac:dyDescent="0.25">
      <c r="B14" s="104"/>
      <c r="C14" s="28">
        <v>500</v>
      </c>
      <c r="D14">
        <v>600</v>
      </c>
      <c r="E14">
        <f t="shared" si="5"/>
        <v>288.3</v>
      </c>
      <c r="F14">
        <f t="shared" si="1"/>
        <v>345.96</v>
      </c>
      <c r="G14" s="47">
        <f t="shared" si="2"/>
        <v>317.13</v>
      </c>
      <c r="H14" s="47">
        <v>0</v>
      </c>
      <c r="I14" s="47">
        <v>1.41</v>
      </c>
      <c r="J14" s="47">
        <v>1.23</v>
      </c>
      <c r="K14" s="85">
        <v>-96</v>
      </c>
      <c r="L14" s="47">
        <f t="shared" si="0"/>
        <v>499</v>
      </c>
      <c r="M14" s="47">
        <v>45</v>
      </c>
      <c r="N14" s="47">
        <f t="shared" si="3"/>
        <v>68.100000000000009</v>
      </c>
      <c r="O14" s="62">
        <f t="shared" si="4"/>
        <v>7.3595190380761566E-2</v>
      </c>
      <c r="P14" s="85">
        <f t="shared" si="6"/>
        <v>403.99868999999995</v>
      </c>
      <c r="Q14" s="85">
        <f t="shared" si="7"/>
        <v>503.99842799999999</v>
      </c>
    </row>
    <row r="15" spans="2:17" x14ac:dyDescent="0.25">
      <c r="B15" s="104"/>
      <c r="C15" s="28">
        <v>600</v>
      </c>
      <c r="D15">
        <v>750</v>
      </c>
      <c r="E15">
        <f t="shared" si="5"/>
        <v>345.96</v>
      </c>
      <c r="F15">
        <f t="shared" si="1"/>
        <v>432.45</v>
      </c>
      <c r="G15" s="47">
        <f t="shared" si="2"/>
        <v>389.21</v>
      </c>
      <c r="H15" s="47">
        <v>0</v>
      </c>
      <c r="I15" s="47">
        <v>1.41</v>
      </c>
      <c r="J15" s="47">
        <v>1.23</v>
      </c>
      <c r="K15" s="85">
        <v>-108</v>
      </c>
      <c r="L15" s="47">
        <f t="shared" si="0"/>
        <v>614</v>
      </c>
      <c r="M15" s="47">
        <v>47</v>
      </c>
      <c r="N15" s="47">
        <f t="shared" si="3"/>
        <v>85.05</v>
      </c>
      <c r="O15" s="62">
        <f t="shared" si="4"/>
        <v>7.3107491856677573E-2</v>
      </c>
      <c r="P15" s="85">
        <f t="shared" si="6"/>
        <v>491.99842799999999</v>
      </c>
      <c r="Q15" s="85">
        <f t="shared" si="7"/>
        <v>641.99803499999985</v>
      </c>
    </row>
    <row r="16" spans="2:17" x14ac:dyDescent="0.25">
      <c r="B16" s="104"/>
      <c r="C16" s="28">
        <v>750</v>
      </c>
      <c r="D16">
        <v>900</v>
      </c>
      <c r="E16">
        <f t="shared" si="5"/>
        <v>432.45</v>
      </c>
      <c r="F16">
        <f t="shared" si="1"/>
        <v>518.94000000000005</v>
      </c>
      <c r="G16" s="47">
        <f t="shared" si="2"/>
        <v>475.7</v>
      </c>
      <c r="H16" s="47">
        <v>0</v>
      </c>
      <c r="I16" s="47">
        <v>1.41</v>
      </c>
      <c r="J16" s="47">
        <v>1.23</v>
      </c>
      <c r="K16" s="85">
        <v>-122</v>
      </c>
      <c r="L16" s="47">
        <f t="shared" si="0"/>
        <v>752</v>
      </c>
      <c r="M16" s="47">
        <v>49</v>
      </c>
      <c r="N16" s="47">
        <f t="shared" si="3"/>
        <v>105.45</v>
      </c>
      <c r="O16" s="62">
        <f t="shared" si="4"/>
        <v>7.2632978723404309E-2</v>
      </c>
      <c r="P16" s="85">
        <f t="shared" si="6"/>
        <v>627.99803499999985</v>
      </c>
      <c r="Q16" s="85">
        <f t="shared" si="7"/>
        <v>777.99764200000004</v>
      </c>
    </row>
    <row r="17" spans="2:17" x14ac:dyDescent="0.25">
      <c r="B17" s="104"/>
      <c r="C17" s="28">
        <v>900</v>
      </c>
      <c r="D17">
        <v>1100</v>
      </c>
      <c r="E17">
        <f t="shared" si="5"/>
        <v>518.94000000000005</v>
      </c>
      <c r="F17">
        <f t="shared" si="1"/>
        <v>634.26</v>
      </c>
      <c r="G17" s="47">
        <f t="shared" si="2"/>
        <v>576.6</v>
      </c>
      <c r="H17" s="47">
        <v>0</v>
      </c>
      <c r="I17" s="47">
        <v>1.41</v>
      </c>
      <c r="J17" s="47">
        <v>1.23</v>
      </c>
      <c r="K17" s="85">
        <v>-135</v>
      </c>
      <c r="L17" s="47">
        <f t="shared" si="0"/>
        <v>914</v>
      </c>
      <c r="M17" s="47">
        <v>49</v>
      </c>
      <c r="N17" s="47">
        <f t="shared" si="3"/>
        <v>129.75</v>
      </c>
      <c r="O17" s="62">
        <f t="shared" si="4"/>
        <v>7.2625820568927857E-2</v>
      </c>
      <c r="P17" s="85">
        <f t="shared" si="6"/>
        <v>764.99764200000004</v>
      </c>
      <c r="Q17" s="85">
        <f t="shared" si="7"/>
        <v>964.99711799999977</v>
      </c>
    </row>
    <row r="18" spans="2:17" x14ac:dyDescent="0.25">
      <c r="B18" s="104"/>
      <c r="C18" s="28">
        <v>1100</v>
      </c>
      <c r="E18">
        <f t="shared" si="5"/>
        <v>634.26</v>
      </c>
      <c r="G18" s="47">
        <v>800</v>
      </c>
      <c r="H18" s="47">
        <v>0</v>
      </c>
      <c r="I18" s="47">
        <v>1.41</v>
      </c>
      <c r="J18" s="47">
        <v>1.23</v>
      </c>
      <c r="K18" s="85">
        <v>-165</v>
      </c>
      <c r="L18" s="47">
        <f t="shared" si="0"/>
        <v>1272</v>
      </c>
      <c r="M18" s="47">
        <v>50</v>
      </c>
      <c r="N18" s="47">
        <f t="shared" si="3"/>
        <v>183.3</v>
      </c>
      <c r="O18" s="62">
        <f t="shared" si="4"/>
        <v>7.2358490566037784E-2</v>
      </c>
      <c r="P18" s="85">
        <f t="shared" si="6"/>
        <v>934.99711799999977</v>
      </c>
      <c r="Q18" s="85"/>
    </row>
    <row r="19" spans="2:17" x14ac:dyDescent="0.25">
      <c r="B19" s="104"/>
      <c r="C19" s="28"/>
      <c r="O19" s="18"/>
      <c r="P19" s="85"/>
      <c r="Q19" s="47"/>
    </row>
    <row r="20" spans="2:17" x14ac:dyDescent="0.25">
      <c r="B20" s="104"/>
      <c r="C20" s="128" t="s">
        <v>103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85"/>
      <c r="Q20" s="47"/>
    </row>
    <row r="21" spans="2:17" x14ac:dyDescent="0.25">
      <c r="B21" s="104"/>
      <c r="C21" s="128" t="s">
        <v>111</v>
      </c>
      <c r="D21" s="129"/>
      <c r="E21" s="129" t="s">
        <v>112</v>
      </c>
      <c r="F21" s="129"/>
      <c r="O21" s="18"/>
      <c r="P21" s="85"/>
      <c r="Q21" s="47"/>
    </row>
    <row r="22" spans="2:17" x14ac:dyDescent="0.25">
      <c r="B22" s="104"/>
      <c r="C22" s="28" t="s">
        <v>113</v>
      </c>
      <c r="D22" t="s">
        <v>114</v>
      </c>
      <c r="E22" t="s">
        <v>113</v>
      </c>
      <c r="F22" t="s">
        <v>114</v>
      </c>
      <c r="G22" t="s">
        <v>1</v>
      </c>
      <c r="H22" t="s">
        <v>115</v>
      </c>
      <c r="I22" t="s">
        <v>116</v>
      </c>
      <c r="J22" t="s">
        <v>117</v>
      </c>
      <c r="K22" t="s">
        <v>118</v>
      </c>
      <c r="L22" t="s">
        <v>11</v>
      </c>
      <c r="M22" t="s">
        <v>10</v>
      </c>
      <c r="N22" t="s">
        <v>9</v>
      </c>
      <c r="O22" s="18" t="s">
        <v>15</v>
      </c>
      <c r="P22" s="85"/>
      <c r="Q22" s="47"/>
    </row>
    <row r="23" spans="2:17" x14ac:dyDescent="0.25">
      <c r="B23" s="104"/>
      <c r="C23" s="28">
        <v>0</v>
      </c>
      <c r="D23">
        <v>32</v>
      </c>
      <c r="E23">
        <v>0</v>
      </c>
      <c r="F23">
        <f>ROUND(D23/(I23*J23),2)</f>
        <v>18.579999999999998</v>
      </c>
      <c r="G23" s="47">
        <f t="shared" ref="G23:G36" si="8">ROUND(AVERAGE(E23:F23),2)</f>
        <v>9.2899999999999991</v>
      </c>
      <c r="H23" s="47">
        <v>0</v>
      </c>
      <c r="I23" s="47">
        <v>1.4</v>
      </c>
      <c r="J23" s="47">
        <v>1.23</v>
      </c>
      <c r="K23" s="85">
        <v>0</v>
      </c>
      <c r="L23" s="47">
        <f t="shared" ref="L23:L37" si="9">ROUND((G23*I23*J23),0)+K23+M23</f>
        <v>16</v>
      </c>
      <c r="M23" s="47">
        <v>0</v>
      </c>
      <c r="N23" s="47">
        <f>(L23-M23)/$P$2*0.18</f>
        <v>2.4</v>
      </c>
      <c r="O23" s="62">
        <f>(L23/$P$2-N23-G23)/(L23/$P$2)</f>
        <v>0.12325000000000008</v>
      </c>
      <c r="P23" s="85">
        <v>0</v>
      </c>
      <c r="Q23" s="85">
        <f>F23*I23*J23+K23</f>
        <v>31.994759999999996</v>
      </c>
    </row>
    <row r="24" spans="2:17" x14ac:dyDescent="0.25">
      <c r="B24" s="104"/>
      <c r="C24" s="28">
        <v>32</v>
      </c>
      <c r="D24">
        <v>51</v>
      </c>
      <c r="E24">
        <f>F23</f>
        <v>18.579999999999998</v>
      </c>
      <c r="F24">
        <f t="shared" ref="F24:F36" si="10">ROUND(D24/(I24*J24),2)</f>
        <v>29.62</v>
      </c>
      <c r="G24" s="47">
        <f t="shared" si="8"/>
        <v>24.1</v>
      </c>
      <c r="H24" s="47">
        <v>0</v>
      </c>
      <c r="I24" s="47">
        <v>1.4</v>
      </c>
      <c r="J24" s="47">
        <v>1.23</v>
      </c>
      <c r="K24" s="85">
        <v>-10</v>
      </c>
      <c r="L24" s="47">
        <f t="shared" si="9"/>
        <v>39</v>
      </c>
      <c r="M24" s="47">
        <v>7</v>
      </c>
      <c r="N24" s="47">
        <f t="shared" ref="N24:N37" si="11">(L24-M24)/$P$2*0.18</f>
        <v>4.8</v>
      </c>
      <c r="O24" s="62">
        <f t="shared" ref="O24:O37" si="12">(L24/$P$2-N24-G24)/(L24/$P$2)</f>
        <v>0.1107692307692307</v>
      </c>
      <c r="P24" s="85">
        <f t="shared" si="6"/>
        <v>21.994759999999996</v>
      </c>
      <c r="Q24" s="85">
        <f t="shared" ref="Q24:Q36" si="13">F24*I24*J24+K24</f>
        <v>41.005639999999993</v>
      </c>
    </row>
    <row r="25" spans="2:17" x14ac:dyDescent="0.25">
      <c r="B25" s="104"/>
      <c r="C25" s="28">
        <v>51</v>
      </c>
      <c r="D25">
        <v>80</v>
      </c>
      <c r="E25">
        <f t="shared" ref="E25:E37" si="14">F24</f>
        <v>29.62</v>
      </c>
      <c r="F25">
        <f t="shared" si="10"/>
        <v>46.46</v>
      </c>
      <c r="G25" s="47">
        <f t="shared" si="8"/>
        <v>38.04</v>
      </c>
      <c r="H25" s="47">
        <v>0</v>
      </c>
      <c r="I25" s="47">
        <v>1.4</v>
      </c>
      <c r="J25" s="47">
        <v>1.23</v>
      </c>
      <c r="K25" s="85">
        <v>-15</v>
      </c>
      <c r="L25" s="47">
        <f t="shared" si="9"/>
        <v>61</v>
      </c>
      <c r="M25" s="47">
        <v>10</v>
      </c>
      <c r="N25" s="47">
        <f t="shared" si="11"/>
        <v>7.6499999999999995</v>
      </c>
      <c r="O25" s="62">
        <f t="shared" si="12"/>
        <v>0.10118032786885255</v>
      </c>
      <c r="P25" s="85">
        <f t="shared" si="6"/>
        <v>36.005639999999993</v>
      </c>
      <c r="Q25" s="85">
        <f t="shared" si="13"/>
        <v>65.00412</v>
      </c>
    </row>
    <row r="26" spans="2:17" x14ac:dyDescent="0.25">
      <c r="B26" s="104"/>
      <c r="C26" s="28">
        <v>80</v>
      </c>
      <c r="D26">
        <v>120</v>
      </c>
      <c r="E26">
        <f t="shared" si="14"/>
        <v>46.46</v>
      </c>
      <c r="F26">
        <f t="shared" si="10"/>
        <v>69.69</v>
      </c>
      <c r="G26" s="47">
        <f t="shared" si="8"/>
        <v>58.08</v>
      </c>
      <c r="H26" s="47">
        <v>0</v>
      </c>
      <c r="I26" s="47">
        <v>1.4</v>
      </c>
      <c r="J26" s="47">
        <v>1.23</v>
      </c>
      <c r="K26" s="85">
        <v>-23</v>
      </c>
      <c r="L26" s="47">
        <f t="shared" si="9"/>
        <v>93</v>
      </c>
      <c r="M26" s="47">
        <v>16</v>
      </c>
      <c r="N26" s="47">
        <f t="shared" si="11"/>
        <v>11.55</v>
      </c>
      <c r="O26" s="62">
        <f t="shared" si="12"/>
        <v>0.10154838709677426</v>
      </c>
      <c r="P26" s="85">
        <f t="shared" si="6"/>
        <v>57.00412</v>
      </c>
      <c r="Q26" s="85">
        <f t="shared" si="13"/>
        <v>97.006179999999986</v>
      </c>
    </row>
    <row r="27" spans="2:17" x14ac:dyDescent="0.25">
      <c r="B27" s="104"/>
      <c r="C27" s="28">
        <v>120</v>
      </c>
      <c r="D27">
        <v>160</v>
      </c>
      <c r="E27">
        <f t="shared" si="14"/>
        <v>69.69</v>
      </c>
      <c r="F27">
        <f t="shared" si="10"/>
        <v>92.92</v>
      </c>
      <c r="G27" s="47">
        <f t="shared" si="8"/>
        <v>81.31</v>
      </c>
      <c r="H27" s="47">
        <v>0</v>
      </c>
      <c r="I27" s="47">
        <v>1.4</v>
      </c>
      <c r="J27" s="47">
        <v>1.23</v>
      </c>
      <c r="K27" s="85">
        <v>-28</v>
      </c>
      <c r="L27" s="47">
        <f t="shared" si="9"/>
        <v>130</v>
      </c>
      <c r="M27" s="47">
        <v>18</v>
      </c>
      <c r="N27" s="47">
        <f t="shared" si="11"/>
        <v>16.8</v>
      </c>
      <c r="O27" s="62">
        <f t="shared" si="12"/>
        <v>9.4369230769230858E-2</v>
      </c>
      <c r="P27" s="85">
        <f t="shared" si="6"/>
        <v>92.006179999999986</v>
      </c>
      <c r="Q27" s="85">
        <f t="shared" si="13"/>
        <v>132.00824</v>
      </c>
    </row>
    <row r="28" spans="2:17" x14ac:dyDescent="0.25">
      <c r="B28" s="104"/>
      <c r="C28" s="28">
        <v>160</v>
      </c>
      <c r="D28">
        <v>200</v>
      </c>
      <c r="E28">
        <f t="shared" si="14"/>
        <v>92.92</v>
      </c>
      <c r="F28">
        <f t="shared" si="10"/>
        <v>116.14</v>
      </c>
      <c r="G28" s="47">
        <f t="shared" si="8"/>
        <v>104.53</v>
      </c>
      <c r="H28" s="47">
        <v>0</v>
      </c>
      <c r="I28" s="47">
        <v>1.4</v>
      </c>
      <c r="J28" s="47">
        <v>1.23</v>
      </c>
      <c r="K28" s="85">
        <v>-38</v>
      </c>
      <c r="L28" s="47">
        <f t="shared" si="9"/>
        <v>166</v>
      </c>
      <c r="M28" s="47">
        <v>24</v>
      </c>
      <c r="N28" s="47">
        <f t="shared" si="11"/>
        <v>21.3</v>
      </c>
      <c r="O28" s="62">
        <f t="shared" si="12"/>
        <v>9.0385542168674768E-2</v>
      </c>
      <c r="P28" s="85">
        <f t="shared" si="6"/>
        <v>122.00824</v>
      </c>
      <c r="Q28" s="85">
        <f t="shared" si="13"/>
        <v>161.99307999999999</v>
      </c>
    </row>
    <row r="29" spans="2:17" x14ac:dyDescent="0.25">
      <c r="B29" s="104"/>
      <c r="C29" s="28">
        <v>200</v>
      </c>
      <c r="D29">
        <v>240</v>
      </c>
      <c r="E29">
        <f t="shared" si="14"/>
        <v>116.14</v>
      </c>
      <c r="F29">
        <f t="shared" si="10"/>
        <v>139.37</v>
      </c>
      <c r="G29" s="47">
        <f t="shared" si="8"/>
        <v>127.76</v>
      </c>
      <c r="H29" s="47">
        <v>0</v>
      </c>
      <c r="I29" s="47">
        <v>1.4</v>
      </c>
      <c r="J29" s="47">
        <v>1.23</v>
      </c>
      <c r="K29" s="85">
        <v>-45</v>
      </c>
      <c r="L29" s="47">
        <f t="shared" si="9"/>
        <v>203</v>
      </c>
      <c r="M29" s="47">
        <v>28</v>
      </c>
      <c r="N29" s="47">
        <f t="shared" si="11"/>
        <v>26.25</v>
      </c>
      <c r="O29" s="62">
        <f t="shared" si="12"/>
        <v>8.9596059113300569E-2</v>
      </c>
      <c r="P29" s="85">
        <f t="shared" si="6"/>
        <v>154.99307999999999</v>
      </c>
      <c r="Q29" s="85">
        <f t="shared" si="13"/>
        <v>194.99513999999999</v>
      </c>
    </row>
    <row r="30" spans="2:17" x14ac:dyDescent="0.25">
      <c r="B30" s="104"/>
      <c r="C30" s="28">
        <v>240</v>
      </c>
      <c r="D30">
        <v>280</v>
      </c>
      <c r="E30">
        <f t="shared" si="14"/>
        <v>139.37</v>
      </c>
      <c r="F30">
        <f t="shared" si="10"/>
        <v>162.6</v>
      </c>
      <c r="G30" s="47">
        <f t="shared" si="8"/>
        <v>150.99</v>
      </c>
      <c r="H30" s="47">
        <v>0</v>
      </c>
      <c r="I30" s="47">
        <v>1.4</v>
      </c>
      <c r="J30" s="47">
        <v>1.23</v>
      </c>
      <c r="K30" s="85">
        <v>-52</v>
      </c>
      <c r="L30" s="47">
        <f t="shared" si="9"/>
        <v>239</v>
      </c>
      <c r="M30" s="47">
        <v>31</v>
      </c>
      <c r="N30" s="47">
        <f t="shared" si="11"/>
        <v>31.2</v>
      </c>
      <c r="O30" s="62">
        <f t="shared" si="12"/>
        <v>8.5238493723849465E-2</v>
      </c>
      <c r="P30" s="85">
        <f t="shared" si="6"/>
        <v>187.99513999999999</v>
      </c>
      <c r="Q30" s="85">
        <f t="shared" si="13"/>
        <v>227.99719999999996</v>
      </c>
    </row>
    <row r="31" spans="2:17" x14ac:dyDescent="0.25">
      <c r="B31" s="104"/>
      <c r="C31" s="28">
        <v>280</v>
      </c>
      <c r="D31">
        <v>425</v>
      </c>
      <c r="E31">
        <f t="shared" si="14"/>
        <v>162.6</v>
      </c>
      <c r="F31">
        <f t="shared" si="10"/>
        <v>246.81</v>
      </c>
      <c r="G31" s="47">
        <f t="shared" si="8"/>
        <v>204.71</v>
      </c>
      <c r="H31" s="47">
        <v>0</v>
      </c>
      <c r="I31" s="47">
        <v>1.4</v>
      </c>
      <c r="J31" s="47">
        <v>1.23</v>
      </c>
      <c r="K31" s="85">
        <v>-62</v>
      </c>
      <c r="L31" s="47">
        <f t="shared" si="9"/>
        <v>324</v>
      </c>
      <c r="M31" s="47">
        <v>33</v>
      </c>
      <c r="N31" s="47">
        <f t="shared" si="11"/>
        <v>43.65</v>
      </c>
      <c r="O31" s="62">
        <f t="shared" si="12"/>
        <v>8.0148148148148093E-2</v>
      </c>
      <c r="P31" s="85">
        <f t="shared" si="6"/>
        <v>217.99719999999996</v>
      </c>
      <c r="Q31" s="85">
        <f t="shared" si="13"/>
        <v>363.00682</v>
      </c>
    </row>
    <row r="32" spans="2:17" x14ac:dyDescent="0.25">
      <c r="B32" s="104"/>
      <c r="C32" s="28">
        <v>425</v>
      </c>
      <c r="D32">
        <v>500</v>
      </c>
      <c r="E32">
        <f t="shared" si="14"/>
        <v>246.81</v>
      </c>
      <c r="F32">
        <f t="shared" si="10"/>
        <v>290.36</v>
      </c>
      <c r="G32" s="47">
        <f t="shared" si="8"/>
        <v>268.58999999999997</v>
      </c>
      <c r="H32" s="47">
        <v>0</v>
      </c>
      <c r="I32" s="47">
        <v>1.4</v>
      </c>
      <c r="J32" s="47">
        <v>1.23</v>
      </c>
      <c r="K32" s="85">
        <v>-75</v>
      </c>
      <c r="L32" s="47">
        <f t="shared" si="9"/>
        <v>426</v>
      </c>
      <c r="M32" s="47">
        <v>38</v>
      </c>
      <c r="N32" s="47">
        <f t="shared" si="11"/>
        <v>58.2</v>
      </c>
      <c r="O32" s="62">
        <f t="shared" si="12"/>
        <v>7.9464788732394473E-2</v>
      </c>
      <c r="P32" s="85">
        <f t="shared" si="6"/>
        <v>350.00682</v>
      </c>
      <c r="Q32" s="85">
        <f t="shared" si="13"/>
        <v>424.99992000000003</v>
      </c>
    </row>
    <row r="33" spans="2:17" x14ac:dyDescent="0.25">
      <c r="B33" s="104"/>
      <c r="C33" s="28">
        <v>500</v>
      </c>
      <c r="D33">
        <v>600</v>
      </c>
      <c r="E33">
        <f t="shared" si="14"/>
        <v>290.36</v>
      </c>
      <c r="F33">
        <f t="shared" si="10"/>
        <v>348.43</v>
      </c>
      <c r="G33" s="47">
        <f t="shared" si="8"/>
        <v>319.39999999999998</v>
      </c>
      <c r="H33" s="47">
        <v>0</v>
      </c>
      <c r="I33" s="47">
        <v>1.4</v>
      </c>
      <c r="J33" s="47">
        <v>1.23</v>
      </c>
      <c r="K33" s="85">
        <v>-84</v>
      </c>
      <c r="L33" s="47">
        <f t="shared" si="9"/>
        <v>507</v>
      </c>
      <c r="M33" s="47">
        <v>41</v>
      </c>
      <c r="N33" s="47">
        <f t="shared" si="11"/>
        <v>69.900000000000006</v>
      </c>
      <c r="O33" s="62">
        <f t="shared" si="12"/>
        <v>7.8579881656804837E-2</v>
      </c>
      <c r="P33" s="85">
        <f t="shared" si="6"/>
        <v>415.99992000000003</v>
      </c>
      <c r="Q33" s="85">
        <f t="shared" si="13"/>
        <v>515.99645999999996</v>
      </c>
    </row>
    <row r="34" spans="2:17" x14ac:dyDescent="0.25">
      <c r="B34" s="104"/>
      <c r="C34" s="28">
        <v>600</v>
      </c>
      <c r="D34">
        <v>750</v>
      </c>
      <c r="E34">
        <f t="shared" si="14"/>
        <v>348.43</v>
      </c>
      <c r="F34">
        <f t="shared" si="10"/>
        <v>435.54</v>
      </c>
      <c r="G34" s="47">
        <f t="shared" si="8"/>
        <v>391.99</v>
      </c>
      <c r="H34" s="47">
        <v>0</v>
      </c>
      <c r="I34" s="47">
        <v>1.4</v>
      </c>
      <c r="J34" s="47">
        <v>1.23</v>
      </c>
      <c r="K34" s="85">
        <v>-95</v>
      </c>
      <c r="L34" s="47">
        <f t="shared" si="9"/>
        <v>623</v>
      </c>
      <c r="M34" s="47">
        <v>43</v>
      </c>
      <c r="N34" s="47">
        <f t="shared" si="11"/>
        <v>87</v>
      </c>
      <c r="O34" s="62">
        <f t="shared" si="12"/>
        <v>7.7386837881220027E-2</v>
      </c>
      <c r="P34" s="85">
        <f t="shared" si="6"/>
        <v>504.99645999999996</v>
      </c>
      <c r="Q34" s="85">
        <f t="shared" si="13"/>
        <v>654.99987999999996</v>
      </c>
    </row>
    <row r="35" spans="2:17" x14ac:dyDescent="0.25">
      <c r="B35" s="104"/>
      <c r="C35" s="28">
        <v>750</v>
      </c>
      <c r="D35">
        <v>900</v>
      </c>
      <c r="E35">
        <f t="shared" si="14"/>
        <v>435.54</v>
      </c>
      <c r="F35">
        <f t="shared" si="10"/>
        <v>522.65</v>
      </c>
      <c r="G35" s="47">
        <f t="shared" si="8"/>
        <v>479.1</v>
      </c>
      <c r="H35" s="47">
        <v>0</v>
      </c>
      <c r="I35" s="47">
        <v>1.4</v>
      </c>
      <c r="J35" s="47">
        <v>1.23</v>
      </c>
      <c r="K35" s="85">
        <v>-110</v>
      </c>
      <c r="L35" s="47">
        <f t="shared" si="9"/>
        <v>760</v>
      </c>
      <c r="M35" s="47">
        <v>45</v>
      </c>
      <c r="N35" s="47">
        <f t="shared" si="11"/>
        <v>107.25</v>
      </c>
      <c r="O35" s="62">
        <f t="shared" si="12"/>
        <v>7.4184210526315811E-2</v>
      </c>
      <c r="P35" s="85">
        <f t="shared" si="6"/>
        <v>639.99987999999996</v>
      </c>
      <c r="Q35" s="85">
        <f t="shared" si="13"/>
        <v>790.00329999999985</v>
      </c>
    </row>
    <row r="36" spans="2:17" x14ac:dyDescent="0.25">
      <c r="B36" s="104"/>
      <c r="C36" s="28">
        <v>900</v>
      </c>
      <c r="D36">
        <v>1100</v>
      </c>
      <c r="E36">
        <f t="shared" si="14"/>
        <v>522.65</v>
      </c>
      <c r="F36">
        <f t="shared" si="10"/>
        <v>638.79</v>
      </c>
      <c r="G36" s="47">
        <f t="shared" si="8"/>
        <v>580.72</v>
      </c>
      <c r="H36" s="47">
        <v>0</v>
      </c>
      <c r="I36" s="47">
        <v>1.4</v>
      </c>
      <c r="J36" s="47">
        <v>1.23</v>
      </c>
      <c r="K36" s="85">
        <v>-123</v>
      </c>
      <c r="L36" s="47">
        <f t="shared" si="9"/>
        <v>923</v>
      </c>
      <c r="M36" s="47">
        <v>46</v>
      </c>
      <c r="N36" s="47">
        <f t="shared" si="11"/>
        <v>131.55000000000001</v>
      </c>
      <c r="O36" s="62">
        <f t="shared" si="12"/>
        <v>7.3971830985915601E-2</v>
      </c>
      <c r="P36" s="85">
        <f t="shared" si="6"/>
        <v>777.00329999999985</v>
      </c>
      <c r="Q36" s="85">
        <f t="shared" si="13"/>
        <v>976.99637999999982</v>
      </c>
    </row>
    <row r="37" spans="2:17" ht="15.75" thickBot="1" x14ac:dyDescent="0.3">
      <c r="B37" s="105"/>
      <c r="C37" s="29">
        <v>1100</v>
      </c>
      <c r="D37" s="30"/>
      <c r="E37" s="30">
        <f t="shared" si="14"/>
        <v>638.79</v>
      </c>
      <c r="F37" s="30"/>
      <c r="G37" s="63">
        <v>900</v>
      </c>
      <c r="H37" s="63">
        <v>0</v>
      </c>
      <c r="I37" s="63">
        <v>1.4</v>
      </c>
      <c r="J37" s="63">
        <v>1.23</v>
      </c>
      <c r="K37" s="86">
        <v>-165</v>
      </c>
      <c r="L37" s="63">
        <f t="shared" si="9"/>
        <v>1433</v>
      </c>
      <c r="M37" s="63">
        <v>48</v>
      </c>
      <c r="N37" s="63">
        <f t="shared" si="11"/>
        <v>207.75</v>
      </c>
      <c r="O37" s="66">
        <f t="shared" si="12"/>
        <v>7.2365666434054496E-2</v>
      </c>
      <c r="P37" s="85">
        <f t="shared" si="6"/>
        <v>934.99637999999982</v>
      </c>
      <c r="Q37" s="85"/>
    </row>
    <row r="40" spans="2:17" ht="15.75" thickBot="1" x14ac:dyDescent="0.3"/>
    <row r="41" spans="2:17" ht="18.75" x14ac:dyDescent="0.3">
      <c r="B41" s="122" t="s">
        <v>125</v>
      </c>
      <c r="C41" s="40" t="s">
        <v>16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</row>
    <row r="42" spans="2:17" x14ac:dyDescent="0.25">
      <c r="B42" s="123"/>
      <c r="C42" s="1" t="s">
        <v>19</v>
      </c>
      <c r="D42" s="2" t="s">
        <v>2</v>
      </c>
      <c r="E42" s="2" t="s">
        <v>3</v>
      </c>
      <c r="F42" s="2" t="s">
        <v>4</v>
      </c>
      <c r="G42" s="2" t="s">
        <v>5</v>
      </c>
      <c r="H42" s="2" t="s">
        <v>6</v>
      </c>
      <c r="I42" s="2" t="s">
        <v>7</v>
      </c>
      <c r="J42" s="2" t="s">
        <v>8</v>
      </c>
      <c r="K42" s="2" t="s">
        <v>9</v>
      </c>
      <c r="L42" s="2" t="s">
        <v>10</v>
      </c>
      <c r="M42" s="2" t="s">
        <v>11</v>
      </c>
      <c r="N42" s="2" t="s">
        <v>12</v>
      </c>
      <c r="O42" s="2" t="s">
        <v>13</v>
      </c>
      <c r="P42" s="2" t="s">
        <v>14</v>
      </c>
      <c r="Q42" s="3" t="s">
        <v>15</v>
      </c>
    </row>
    <row r="43" spans="2:17" ht="15.75" x14ac:dyDescent="0.25">
      <c r="B43" s="123"/>
      <c r="C43" s="34">
        <v>20</v>
      </c>
      <c r="D43" s="34">
        <v>22.31</v>
      </c>
      <c r="E43" s="2">
        <v>1.23</v>
      </c>
      <c r="F43" s="2">
        <v>0.22</v>
      </c>
      <c r="G43" s="2">
        <v>1.23</v>
      </c>
      <c r="H43" s="2">
        <v>26</v>
      </c>
      <c r="I43" s="2">
        <v>1</v>
      </c>
      <c r="J43" s="2">
        <v>0</v>
      </c>
      <c r="K43" s="6">
        <v>0.18</v>
      </c>
      <c r="L43" s="80">
        <v>2.4</v>
      </c>
      <c r="M43" s="80">
        <f>(C43+H43)*E43*F43*G43*I43+J43</f>
        <v>15.310547999999999</v>
      </c>
      <c r="N43" s="80">
        <f>((M43/1.2))*0.18</f>
        <v>2.2965822</v>
      </c>
      <c r="O43" s="9">
        <v>0.05</v>
      </c>
      <c r="P43" s="80">
        <f>((1-O43)*C43)*F43+D43*F43+N43</f>
        <v>11.3847822</v>
      </c>
      <c r="Q43" s="36">
        <f>(M43/1.2-P43)/(M43/1.2)</f>
        <v>0.10769107415358348</v>
      </c>
    </row>
    <row r="44" spans="2:17" ht="15.75" x14ac:dyDescent="0.25">
      <c r="B44" s="123"/>
      <c r="C44" s="34">
        <v>60</v>
      </c>
      <c r="D44" s="34">
        <v>22.31</v>
      </c>
      <c r="E44" s="2">
        <v>1.28</v>
      </c>
      <c r="F44" s="2">
        <v>0.22</v>
      </c>
      <c r="G44" s="2">
        <v>1.23</v>
      </c>
      <c r="H44" s="2">
        <v>24</v>
      </c>
      <c r="I44" s="2">
        <v>1</v>
      </c>
      <c r="J44" s="2">
        <v>0</v>
      </c>
      <c r="K44" s="6">
        <v>0.18</v>
      </c>
      <c r="L44" s="80">
        <v>2.4</v>
      </c>
      <c r="M44" s="80">
        <f t="shared" ref="M44:M47" si="15">(C44+H44)*E44*F44*G44*I44+J44</f>
        <v>29.094911999999997</v>
      </c>
      <c r="N44" s="80">
        <f t="shared" ref="N44:N47" si="16">((M44/1.2))*0.18</f>
        <v>4.3642367999999996</v>
      </c>
      <c r="O44" s="9">
        <v>0.05</v>
      </c>
      <c r="P44" s="80">
        <f t="shared" ref="P44:P47" si="17">((1-O44)*C44)*F44+D44*F44+N44</f>
        <v>21.8124368</v>
      </c>
      <c r="Q44" s="36">
        <f>(M44/1.2-P44)/(M44/1.2)</f>
        <v>0.10036077235772345</v>
      </c>
    </row>
    <row r="45" spans="2:17" ht="15.75" x14ac:dyDescent="0.25">
      <c r="B45" s="123"/>
      <c r="C45" s="34">
        <v>100</v>
      </c>
      <c r="D45" s="34">
        <v>22.31</v>
      </c>
      <c r="E45" s="2">
        <v>1.3</v>
      </c>
      <c r="F45" s="2">
        <v>0.22</v>
      </c>
      <c r="G45" s="2">
        <v>1.23</v>
      </c>
      <c r="H45" s="2">
        <v>22</v>
      </c>
      <c r="I45" s="2">
        <v>1</v>
      </c>
      <c r="J45" s="2">
        <v>0</v>
      </c>
      <c r="K45" s="6">
        <v>0.18</v>
      </c>
      <c r="L45" s="80">
        <v>2.4</v>
      </c>
      <c r="M45" s="80">
        <f t="shared" si="15"/>
        <v>42.917159999999996</v>
      </c>
      <c r="N45" s="80">
        <f t="shared" si="16"/>
        <v>6.4375739999999997</v>
      </c>
      <c r="O45" s="9">
        <v>0.05</v>
      </c>
      <c r="P45" s="80">
        <f t="shared" si="17"/>
        <v>32.245773999999997</v>
      </c>
      <c r="Q45" s="36">
        <f>(M45/1.2-P45)/(M45/1.2)</f>
        <v>9.8380955310183663E-2</v>
      </c>
    </row>
    <row r="46" spans="2:17" ht="15.75" x14ac:dyDescent="0.25">
      <c r="B46" s="123"/>
      <c r="C46" s="34">
        <v>200</v>
      </c>
      <c r="D46" s="34">
        <v>22.31</v>
      </c>
      <c r="E46" s="2">
        <v>1.3</v>
      </c>
      <c r="F46" s="2">
        <v>0.22</v>
      </c>
      <c r="G46" s="2">
        <v>1.23</v>
      </c>
      <c r="H46" s="2">
        <v>20</v>
      </c>
      <c r="I46" s="2">
        <v>1</v>
      </c>
      <c r="J46" s="2">
        <v>0</v>
      </c>
      <c r="K46" s="6">
        <v>0.18</v>
      </c>
      <c r="L46" s="80">
        <v>2.4</v>
      </c>
      <c r="M46" s="80">
        <f t="shared" si="15"/>
        <v>77.391599999999997</v>
      </c>
      <c r="N46" s="80">
        <f t="shared" si="16"/>
        <v>11.608739999999999</v>
      </c>
      <c r="O46" s="9">
        <v>0.05</v>
      </c>
      <c r="P46" s="80">
        <f t="shared" si="17"/>
        <v>58.316939999999995</v>
      </c>
      <c r="Q46" s="36">
        <f>(M46/1.2-P46)/(M46/1.2)</f>
        <v>9.5763261129114791E-2</v>
      </c>
    </row>
    <row r="47" spans="2:17" ht="15.75" x14ac:dyDescent="0.25">
      <c r="B47" s="123"/>
      <c r="C47" s="34">
        <v>600</v>
      </c>
      <c r="D47" s="34">
        <v>22.31</v>
      </c>
      <c r="E47" s="2">
        <v>1.278</v>
      </c>
      <c r="F47" s="2">
        <v>0.22</v>
      </c>
      <c r="G47" s="2">
        <v>1.23</v>
      </c>
      <c r="H47" s="2">
        <v>18</v>
      </c>
      <c r="I47" s="2">
        <v>1</v>
      </c>
      <c r="J47" s="2">
        <v>0</v>
      </c>
      <c r="K47" s="6">
        <v>0.18</v>
      </c>
      <c r="L47" s="80">
        <v>2.4</v>
      </c>
      <c r="M47" s="80">
        <f t="shared" si="15"/>
        <v>213.72096239999999</v>
      </c>
      <c r="N47" s="80">
        <f t="shared" si="16"/>
        <v>32.05814436</v>
      </c>
      <c r="O47" s="9">
        <v>0.05</v>
      </c>
      <c r="P47" s="80">
        <f t="shared" si="17"/>
        <v>162.36634436</v>
      </c>
      <c r="Q47" s="36">
        <f>(M47/1.2-P47)/(M47/1.2)</f>
        <v>8.834579891448209E-2</v>
      </c>
    </row>
    <row r="48" spans="2:17" x14ac:dyDescent="0.25">
      <c r="B48" s="123"/>
      <c r="Q48" s="18"/>
    </row>
    <row r="49" spans="2:17" x14ac:dyDescent="0.25">
      <c r="B49" s="123"/>
      <c r="Q49" s="18"/>
    </row>
    <row r="50" spans="2:17" ht="18.75" x14ac:dyDescent="0.3">
      <c r="B50" s="123"/>
      <c r="C50" s="43" t="s">
        <v>17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</row>
    <row r="51" spans="2:17" x14ac:dyDescent="0.25">
      <c r="B51" s="123"/>
      <c r="C51" s="1" t="s">
        <v>19</v>
      </c>
      <c r="D51" s="2" t="s">
        <v>2</v>
      </c>
      <c r="E51" s="2" t="s">
        <v>3</v>
      </c>
      <c r="F51" s="2" t="s">
        <v>4</v>
      </c>
      <c r="G51" s="2" t="s">
        <v>5</v>
      </c>
      <c r="H51" s="2" t="s">
        <v>6</v>
      </c>
      <c r="I51" s="2" t="s">
        <v>7</v>
      </c>
      <c r="J51" s="2" t="s">
        <v>8</v>
      </c>
      <c r="K51" s="2" t="s">
        <v>9</v>
      </c>
      <c r="L51" s="2" t="s">
        <v>10</v>
      </c>
      <c r="M51" s="2" t="s">
        <v>11</v>
      </c>
      <c r="N51" s="2" t="s">
        <v>12</v>
      </c>
      <c r="O51" s="2" t="s">
        <v>13</v>
      </c>
      <c r="P51" s="2" t="s">
        <v>14</v>
      </c>
      <c r="Q51" s="3" t="s">
        <v>15</v>
      </c>
    </row>
    <row r="52" spans="2:17" ht="15.75" x14ac:dyDescent="0.25">
      <c r="B52" s="123"/>
      <c r="C52" s="34">
        <v>20</v>
      </c>
      <c r="D52" s="34">
        <v>22.31</v>
      </c>
      <c r="E52" s="2">
        <v>1.23</v>
      </c>
      <c r="F52" s="2">
        <v>0.22</v>
      </c>
      <c r="G52" s="2">
        <v>1.23</v>
      </c>
      <c r="H52" s="2">
        <v>26</v>
      </c>
      <c r="I52" s="2">
        <v>1</v>
      </c>
      <c r="J52" s="2">
        <v>0</v>
      </c>
      <c r="K52" s="6">
        <v>0.18</v>
      </c>
      <c r="L52" s="80">
        <v>2.4</v>
      </c>
      <c r="M52" s="80">
        <f>(C52+H52)*E52*F52*G52*I52+J52</f>
        <v>15.310547999999999</v>
      </c>
      <c r="N52" s="80">
        <f>((M52/1.2))*0.18</f>
        <v>2.2965822</v>
      </c>
      <c r="O52" s="9">
        <v>0.05</v>
      </c>
      <c r="P52" s="80">
        <f>((1-O52)*C52)*F52+D52*F52+N52</f>
        <v>11.3847822</v>
      </c>
      <c r="Q52" s="36">
        <f>(M52/1.2-P52)/(M52/1.2)</f>
        <v>0.10769107415358348</v>
      </c>
    </row>
    <row r="53" spans="2:17" ht="15.75" x14ac:dyDescent="0.25">
      <c r="B53" s="123"/>
      <c r="C53" s="34">
        <v>60</v>
      </c>
      <c r="D53" s="34">
        <v>22.31</v>
      </c>
      <c r="E53" s="2">
        <v>1.28</v>
      </c>
      <c r="F53" s="2">
        <v>0.22</v>
      </c>
      <c r="G53" s="2">
        <v>1.23</v>
      </c>
      <c r="H53" s="2">
        <v>24</v>
      </c>
      <c r="I53" s="2">
        <v>1</v>
      </c>
      <c r="J53" s="2">
        <v>0</v>
      </c>
      <c r="K53" s="6">
        <v>0.18</v>
      </c>
      <c r="L53" s="80">
        <v>2.4</v>
      </c>
      <c r="M53" s="80">
        <f t="shared" ref="M53:M56" si="18">(C53+H53)*E53*F53*G53*I53+J53</f>
        <v>29.094911999999997</v>
      </c>
      <c r="N53" s="80">
        <f t="shared" ref="N53:N56" si="19">((M53/1.2))*0.18</f>
        <v>4.3642367999999996</v>
      </c>
      <c r="O53" s="9">
        <v>0.05</v>
      </c>
      <c r="P53" s="80">
        <f t="shared" ref="P53:P56" si="20">((1-O53)*C53)*F53+D53*F53+N53</f>
        <v>21.8124368</v>
      </c>
      <c r="Q53" s="36">
        <f>(M53/1.2-P53)/(M53/1.2)</f>
        <v>0.10036077235772345</v>
      </c>
    </row>
    <row r="54" spans="2:17" ht="15.75" x14ac:dyDescent="0.25">
      <c r="B54" s="123"/>
      <c r="C54" s="34">
        <v>100</v>
      </c>
      <c r="D54" s="34">
        <v>22.31</v>
      </c>
      <c r="E54" s="2">
        <v>1.3</v>
      </c>
      <c r="F54" s="2">
        <v>0.22</v>
      </c>
      <c r="G54" s="2">
        <v>1.23</v>
      </c>
      <c r="H54" s="2">
        <v>22</v>
      </c>
      <c r="I54" s="2">
        <v>1</v>
      </c>
      <c r="J54" s="2">
        <v>0</v>
      </c>
      <c r="K54" s="6">
        <v>0.18</v>
      </c>
      <c r="L54" s="80">
        <v>2.4</v>
      </c>
      <c r="M54" s="80">
        <f t="shared" si="18"/>
        <v>42.917159999999996</v>
      </c>
      <c r="N54" s="80">
        <f t="shared" si="19"/>
        <v>6.4375739999999997</v>
      </c>
      <c r="O54" s="9">
        <v>0.05</v>
      </c>
      <c r="P54" s="80">
        <f t="shared" si="20"/>
        <v>32.245773999999997</v>
      </c>
      <c r="Q54" s="36">
        <f>(M54/1.2-P54)/(M54/1.2)</f>
        <v>9.8380955310183663E-2</v>
      </c>
    </row>
    <row r="55" spans="2:17" ht="15.75" x14ac:dyDescent="0.25">
      <c r="B55" s="123"/>
      <c r="C55" s="34">
        <v>200</v>
      </c>
      <c r="D55" s="34">
        <v>22.31</v>
      </c>
      <c r="E55" s="2">
        <v>1.3</v>
      </c>
      <c r="F55" s="2">
        <v>0.22</v>
      </c>
      <c r="G55" s="2">
        <v>1.23</v>
      </c>
      <c r="H55" s="2">
        <v>20</v>
      </c>
      <c r="I55" s="2">
        <v>1</v>
      </c>
      <c r="J55" s="2">
        <v>0</v>
      </c>
      <c r="K55" s="6">
        <v>0.18</v>
      </c>
      <c r="L55" s="80">
        <v>2.4</v>
      </c>
      <c r="M55" s="80">
        <f t="shared" si="18"/>
        <v>77.391599999999997</v>
      </c>
      <c r="N55" s="80">
        <f t="shared" si="19"/>
        <v>11.608739999999999</v>
      </c>
      <c r="O55" s="9">
        <v>0.05</v>
      </c>
      <c r="P55" s="80">
        <f t="shared" si="20"/>
        <v>58.316939999999995</v>
      </c>
      <c r="Q55" s="36">
        <f>(M55/1.2-P55)/(M55/1.2)</f>
        <v>9.5763261129114791E-2</v>
      </c>
    </row>
    <row r="56" spans="2:17" ht="16.5" thickBot="1" x14ac:dyDescent="0.3">
      <c r="B56" s="124"/>
      <c r="C56" s="34">
        <v>600</v>
      </c>
      <c r="D56" s="34">
        <v>22.31</v>
      </c>
      <c r="E56" s="2">
        <v>1.278</v>
      </c>
      <c r="F56" s="2">
        <v>0.22</v>
      </c>
      <c r="G56" s="2">
        <v>1.23</v>
      </c>
      <c r="H56" s="2">
        <v>18</v>
      </c>
      <c r="I56" s="2">
        <v>1</v>
      </c>
      <c r="J56" s="2">
        <v>0</v>
      </c>
      <c r="K56" s="6">
        <v>0.18</v>
      </c>
      <c r="L56" s="80">
        <v>2.4</v>
      </c>
      <c r="M56" s="80">
        <f t="shared" si="18"/>
        <v>213.72096239999999</v>
      </c>
      <c r="N56" s="80">
        <f t="shared" si="19"/>
        <v>32.05814436</v>
      </c>
      <c r="O56" s="9">
        <v>0.05</v>
      </c>
      <c r="P56" s="80">
        <f t="shared" si="20"/>
        <v>162.36634436</v>
      </c>
      <c r="Q56" s="36">
        <f>(M56/1.2-P56)/(M56/1.2)</f>
        <v>8.834579891448209E-2</v>
      </c>
    </row>
    <row r="59" spans="2:17" ht="15.75" thickBot="1" x14ac:dyDescent="0.3"/>
    <row r="60" spans="2:17" ht="18.75" x14ac:dyDescent="0.3">
      <c r="B60" s="122" t="s">
        <v>124</v>
      </c>
      <c r="C60" s="40" t="s">
        <v>16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2"/>
    </row>
    <row r="61" spans="2:17" x14ac:dyDescent="0.25">
      <c r="B61" s="123"/>
      <c r="C61" s="1" t="s">
        <v>19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2" t="s">
        <v>8</v>
      </c>
      <c r="K61" s="2" t="s">
        <v>9</v>
      </c>
      <c r="L61" s="2" t="s">
        <v>10</v>
      </c>
      <c r="M61" s="2" t="s">
        <v>11</v>
      </c>
      <c r="N61" s="2" t="s">
        <v>12</v>
      </c>
      <c r="O61" s="2" t="s">
        <v>13</v>
      </c>
      <c r="P61" s="2" t="s">
        <v>14</v>
      </c>
      <c r="Q61" s="3" t="s">
        <v>15</v>
      </c>
    </row>
    <row r="62" spans="2:17" ht="15.75" x14ac:dyDescent="0.25">
      <c r="B62" s="123"/>
      <c r="C62" s="34">
        <v>10</v>
      </c>
      <c r="D62" s="34">
        <v>22.31</v>
      </c>
      <c r="E62" s="2">
        <v>1.67</v>
      </c>
      <c r="F62" s="2">
        <v>0.22</v>
      </c>
      <c r="G62" s="2">
        <v>1</v>
      </c>
      <c r="H62" s="2">
        <v>21</v>
      </c>
      <c r="I62" s="2">
        <v>1</v>
      </c>
      <c r="J62" s="2">
        <v>0</v>
      </c>
      <c r="K62" s="6">
        <v>0.18</v>
      </c>
      <c r="L62" s="80">
        <v>2.4</v>
      </c>
      <c r="M62" s="80">
        <f>(C62+H62)*E62*F62*G62</f>
        <v>11.389399999999998</v>
      </c>
      <c r="N62" s="80">
        <f>((M62/1.2)-L62)*0.18</f>
        <v>1.2764099999999998</v>
      </c>
      <c r="O62" s="9">
        <v>0.05</v>
      </c>
      <c r="P62" s="80">
        <f>(((1-O62)*C62)/1.23)*F62+D62*F62+N62</f>
        <v>7.883796991869918</v>
      </c>
      <c r="Q62" s="36">
        <f>(M62/1.2-P62)/(M62/1.2)</f>
        <v>0.16935427764027061</v>
      </c>
    </row>
    <row r="63" spans="2:17" ht="15.75" x14ac:dyDescent="0.25">
      <c r="B63" s="123"/>
      <c r="C63" s="34">
        <v>50</v>
      </c>
      <c r="D63" s="34">
        <v>22.31</v>
      </c>
      <c r="E63" s="2">
        <v>1.52</v>
      </c>
      <c r="F63" s="2">
        <v>0.22</v>
      </c>
      <c r="G63" s="2">
        <v>1</v>
      </c>
      <c r="H63" s="2">
        <v>18</v>
      </c>
      <c r="I63" s="2">
        <v>1</v>
      </c>
      <c r="J63" s="2">
        <v>0</v>
      </c>
      <c r="K63" s="6">
        <v>0.18</v>
      </c>
      <c r="L63" s="80">
        <v>2.4</v>
      </c>
      <c r="M63" s="80">
        <f t="shared" ref="M63:M66" si="21">(C63+H63)*E63*F63*G63</f>
        <v>22.7392</v>
      </c>
      <c r="N63" s="80">
        <f>((M63/1.2)-L63)*0.18</f>
        <v>2.9788800000000006</v>
      </c>
      <c r="O63" s="9">
        <v>0.05</v>
      </c>
      <c r="P63" s="80">
        <f t="shared" ref="P63:P66" si="22">(((1-O63)*C63)/1.23)*F63+D63*F63+N63</f>
        <v>16.383014959349595</v>
      </c>
      <c r="Q63" s="36">
        <f>(M63/1.2-P63)/(M63/1.2)</f>
        <v>0.13543053620094325</v>
      </c>
    </row>
    <row r="64" spans="2:17" ht="15.75" x14ac:dyDescent="0.25">
      <c r="B64" s="123"/>
      <c r="C64" s="34">
        <v>115</v>
      </c>
      <c r="D64" s="34">
        <v>22.31</v>
      </c>
      <c r="E64" s="2">
        <v>1.45</v>
      </c>
      <c r="F64" s="2">
        <v>0.22</v>
      </c>
      <c r="G64" s="2">
        <v>1</v>
      </c>
      <c r="H64" s="2">
        <v>15</v>
      </c>
      <c r="I64" s="2">
        <v>1</v>
      </c>
      <c r="J64" s="2">
        <v>0</v>
      </c>
      <c r="K64" s="6">
        <v>0.18</v>
      </c>
      <c r="L64" s="80">
        <v>2.4</v>
      </c>
      <c r="M64" s="80">
        <f t="shared" si="21"/>
        <v>41.47</v>
      </c>
      <c r="N64" s="80">
        <f>((M64/1.2)-L64)*0.18</f>
        <v>5.7885000000000009</v>
      </c>
      <c r="O64" s="9">
        <v>0.05</v>
      </c>
      <c r="P64" s="80">
        <f t="shared" si="22"/>
        <v>30.237350406504071</v>
      </c>
      <c r="Q64" s="36">
        <f>(M64/1.2-P64)/(M64/1.2)</f>
        <v>0.12503447099578296</v>
      </c>
    </row>
    <row r="65" spans="2:17" ht="15.75" x14ac:dyDescent="0.25">
      <c r="B65" s="123"/>
      <c r="C65" s="34">
        <v>225</v>
      </c>
      <c r="D65" s="34">
        <v>22.31</v>
      </c>
      <c r="E65" s="2">
        <v>1.38</v>
      </c>
      <c r="F65" s="2">
        <v>0.22</v>
      </c>
      <c r="G65" s="2">
        <v>1</v>
      </c>
      <c r="H65" s="2">
        <v>12</v>
      </c>
      <c r="I65" s="2">
        <v>1</v>
      </c>
      <c r="J65" s="2">
        <v>0</v>
      </c>
      <c r="K65" s="6">
        <v>0.18</v>
      </c>
      <c r="L65" s="80">
        <v>2.4</v>
      </c>
      <c r="M65" s="80">
        <f t="shared" si="21"/>
        <v>71.953199999999995</v>
      </c>
      <c r="N65" s="80">
        <f>((M65/1.2)-L65)*0.18</f>
        <v>10.36098</v>
      </c>
      <c r="O65" s="9">
        <v>0.05</v>
      </c>
      <c r="P65" s="80">
        <f t="shared" si="22"/>
        <v>53.500887317073172</v>
      </c>
      <c r="Q65" s="36">
        <f>(M65/1.2-P65)/(M65/1.2)</f>
        <v>0.10773857478906</v>
      </c>
    </row>
    <row r="66" spans="2:17" ht="15.75" x14ac:dyDescent="0.25">
      <c r="B66" s="123"/>
      <c r="C66" s="34">
        <v>450</v>
      </c>
      <c r="D66" s="34">
        <v>22.31</v>
      </c>
      <c r="E66" s="2">
        <v>1.33</v>
      </c>
      <c r="F66" s="2">
        <v>0.22</v>
      </c>
      <c r="G66" s="2">
        <v>1</v>
      </c>
      <c r="H66" s="2">
        <v>10</v>
      </c>
      <c r="I66" s="2">
        <v>1</v>
      </c>
      <c r="J66" s="2">
        <v>0</v>
      </c>
      <c r="K66" s="6">
        <v>0.18</v>
      </c>
      <c r="L66" s="80">
        <v>2.4</v>
      </c>
      <c r="M66" s="80">
        <f t="shared" si="21"/>
        <v>134.596</v>
      </c>
      <c r="N66" s="80">
        <f>((M66/1.2)-L66)*0.18</f>
        <v>19.757400000000001</v>
      </c>
      <c r="O66" s="9">
        <v>0.05</v>
      </c>
      <c r="P66" s="80">
        <f t="shared" si="22"/>
        <v>101.12901463414634</v>
      </c>
      <c r="Q66" s="36">
        <f>(M66/1.2-P66)/(M66/1.2)</f>
        <v>9.8377235869003501E-2</v>
      </c>
    </row>
    <row r="67" spans="2:17" x14ac:dyDescent="0.25">
      <c r="B67" s="123"/>
      <c r="Q67" s="18"/>
    </row>
    <row r="68" spans="2:17" x14ac:dyDescent="0.25">
      <c r="B68" s="123"/>
      <c r="Q68" s="18"/>
    </row>
    <row r="69" spans="2:17" ht="18.75" x14ac:dyDescent="0.3">
      <c r="B69" s="123"/>
      <c r="C69" s="43" t="s">
        <v>17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5"/>
    </row>
    <row r="70" spans="2:17" x14ac:dyDescent="0.25">
      <c r="B70" s="123"/>
      <c r="C70" s="1" t="s">
        <v>19</v>
      </c>
      <c r="D70" s="2" t="s">
        <v>2</v>
      </c>
      <c r="E70" s="2" t="s">
        <v>3</v>
      </c>
      <c r="F70" s="2" t="s">
        <v>4</v>
      </c>
      <c r="G70" s="2" t="s">
        <v>5</v>
      </c>
      <c r="H70" s="2" t="s">
        <v>6</v>
      </c>
      <c r="I70" s="2" t="s">
        <v>7</v>
      </c>
      <c r="J70" s="2" t="s">
        <v>8</v>
      </c>
      <c r="K70" s="2" t="s">
        <v>9</v>
      </c>
      <c r="L70" s="2" t="s">
        <v>10</v>
      </c>
      <c r="M70" s="2" t="s">
        <v>11</v>
      </c>
      <c r="N70" s="2" t="s">
        <v>12</v>
      </c>
      <c r="O70" s="2" t="s">
        <v>13</v>
      </c>
      <c r="P70" s="2" t="s">
        <v>14</v>
      </c>
      <c r="Q70" s="3" t="s">
        <v>15</v>
      </c>
    </row>
    <row r="71" spans="2:17" ht="15.75" x14ac:dyDescent="0.25">
      <c r="B71" s="123"/>
      <c r="C71" s="34">
        <v>10</v>
      </c>
      <c r="D71" s="34">
        <v>22.31</v>
      </c>
      <c r="E71" s="2">
        <v>1.22</v>
      </c>
      <c r="F71" s="2">
        <v>0.22</v>
      </c>
      <c r="G71" s="2">
        <v>1</v>
      </c>
      <c r="H71" s="2">
        <v>20</v>
      </c>
      <c r="I71" s="2">
        <v>1</v>
      </c>
      <c r="J71" s="2">
        <v>0</v>
      </c>
      <c r="K71" s="6">
        <v>0.18</v>
      </c>
      <c r="L71" s="80">
        <v>2.4</v>
      </c>
      <c r="M71" s="80">
        <f>(C71+H71)*E71*F71*G71*I71+J71</f>
        <v>8.0519999999999996</v>
      </c>
      <c r="N71" s="80">
        <f>((M71/1.2))*0.18</f>
        <v>1.2078</v>
      </c>
      <c r="O71" s="9">
        <v>0.05</v>
      </c>
      <c r="P71" s="80">
        <f>(((1-O71)*C71)/1.23)*F71+D71*F71+N71</f>
        <v>7.8151869918699184</v>
      </c>
      <c r="Q71" s="36">
        <f>(M71/1.2-P71)/(M71/1.2)</f>
        <v>-0.16470745035319201</v>
      </c>
    </row>
    <row r="72" spans="2:17" ht="15.75" x14ac:dyDescent="0.25">
      <c r="B72" s="123"/>
      <c r="C72" s="34">
        <v>50</v>
      </c>
      <c r="D72" s="34">
        <v>22.31</v>
      </c>
      <c r="E72" s="2">
        <v>1.27</v>
      </c>
      <c r="F72" s="2">
        <v>0.22</v>
      </c>
      <c r="G72" s="2">
        <v>1</v>
      </c>
      <c r="H72" s="2">
        <v>20</v>
      </c>
      <c r="I72" s="2">
        <v>1</v>
      </c>
      <c r="J72" s="2">
        <v>0</v>
      </c>
      <c r="K72" s="6">
        <v>0.18</v>
      </c>
      <c r="L72" s="80">
        <v>2.4</v>
      </c>
      <c r="M72" s="80">
        <f t="shared" ref="M72:M75" si="23">(C72+H72)*E72*F72*G72*I72+J72</f>
        <v>19.558</v>
      </c>
      <c r="N72" s="80">
        <f t="shared" ref="N72:N75" si="24">((M72/1.2))*0.18</f>
        <v>2.9337000000000004</v>
      </c>
      <c r="O72" s="9">
        <v>0.05</v>
      </c>
      <c r="P72" s="80">
        <f t="shared" ref="P72:P75" si="25">(((1-O72)*C72)/1.23)*F72+D72*F72+N72</f>
        <v>16.337834959349596</v>
      </c>
      <c r="Q72" s="36">
        <f>(M72/1.2-P72)/(M72/1.2)</f>
        <v>-2.4236604570770392E-3</v>
      </c>
    </row>
    <row r="73" spans="2:17" ht="15.75" x14ac:dyDescent="0.25">
      <c r="B73" s="123"/>
      <c r="C73" s="34">
        <v>115</v>
      </c>
      <c r="D73" s="34">
        <v>22.31</v>
      </c>
      <c r="E73" s="2">
        <v>1.2789999999999999</v>
      </c>
      <c r="F73" s="2">
        <v>0.22</v>
      </c>
      <c r="G73" s="2">
        <v>1</v>
      </c>
      <c r="H73" s="2">
        <v>20</v>
      </c>
      <c r="I73" s="2">
        <v>1</v>
      </c>
      <c r="J73" s="2">
        <v>0</v>
      </c>
      <c r="K73" s="6">
        <v>0.18</v>
      </c>
      <c r="L73" s="80">
        <v>2.4</v>
      </c>
      <c r="M73" s="80">
        <f t="shared" si="23"/>
        <v>37.9863</v>
      </c>
      <c r="N73" s="80">
        <f t="shared" si="24"/>
        <v>5.6979449999999998</v>
      </c>
      <c r="O73" s="9">
        <v>0.05</v>
      </c>
      <c r="P73" s="80">
        <f t="shared" si="25"/>
        <v>30.146795406504069</v>
      </c>
      <c r="Q73" s="36">
        <f>(M73/1.2-P73)/(M73/1.2)</f>
        <v>4.7652588227732641E-2</v>
      </c>
    </row>
    <row r="74" spans="2:17" ht="15.75" x14ac:dyDescent="0.25">
      <c r="B74" s="123"/>
      <c r="C74" s="34">
        <v>225</v>
      </c>
      <c r="D74" s="34">
        <v>22.31</v>
      </c>
      <c r="E74" s="2">
        <v>1.2889999999999999</v>
      </c>
      <c r="F74" s="2">
        <v>0.22</v>
      </c>
      <c r="G74" s="2">
        <v>1</v>
      </c>
      <c r="H74" s="2">
        <v>20</v>
      </c>
      <c r="I74" s="2">
        <v>1</v>
      </c>
      <c r="J74" s="2">
        <v>0</v>
      </c>
      <c r="K74" s="6">
        <v>0.18</v>
      </c>
      <c r="L74" s="80">
        <v>2.4</v>
      </c>
      <c r="M74" s="80">
        <f t="shared" si="23"/>
        <v>69.477100000000007</v>
      </c>
      <c r="N74" s="80">
        <f t="shared" si="24"/>
        <v>10.421565000000001</v>
      </c>
      <c r="O74" s="9">
        <v>0.05</v>
      </c>
      <c r="P74" s="80">
        <f t="shared" si="25"/>
        <v>53.561472317073175</v>
      </c>
      <c r="Q74" s="36">
        <f>(M74/1.2-P74)/(M74/1.2)</f>
        <v>7.4892780779741847E-2</v>
      </c>
    </row>
    <row r="75" spans="2:17" ht="16.5" thickBot="1" x14ac:dyDescent="0.3">
      <c r="B75" s="124"/>
      <c r="C75" s="34">
        <v>450</v>
      </c>
      <c r="D75" s="34">
        <v>22.31</v>
      </c>
      <c r="E75" s="2">
        <v>1.29</v>
      </c>
      <c r="F75" s="2">
        <v>0.22</v>
      </c>
      <c r="G75" s="2">
        <v>1</v>
      </c>
      <c r="H75" s="2">
        <v>20</v>
      </c>
      <c r="I75" s="2">
        <v>1</v>
      </c>
      <c r="J75" s="2">
        <v>0</v>
      </c>
      <c r="K75" s="6">
        <v>0.18</v>
      </c>
      <c r="L75" s="80">
        <v>2.4</v>
      </c>
      <c r="M75" s="80">
        <f t="shared" si="23"/>
        <v>133.38600000000002</v>
      </c>
      <c r="N75" s="80">
        <f t="shared" si="24"/>
        <v>20.007900000000003</v>
      </c>
      <c r="O75" s="9">
        <v>0.05</v>
      </c>
      <c r="P75" s="80">
        <f t="shared" si="25"/>
        <v>101.37951463414635</v>
      </c>
      <c r="Q75" s="36">
        <f>(M75/1.2-P75)/(M75/1.2)</f>
        <v>8.7944630163768439E-2</v>
      </c>
    </row>
    <row r="78" spans="2:17" ht="15.75" thickBot="1" x14ac:dyDescent="0.3"/>
    <row r="79" spans="2:17" ht="18.75" x14ac:dyDescent="0.3">
      <c r="B79" s="100" t="s">
        <v>126</v>
      </c>
      <c r="C79" s="97" t="s">
        <v>127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9"/>
    </row>
    <row r="80" spans="2:17" x14ac:dyDescent="0.25">
      <c r="B80" s="101"/>
      <c r="C80" s="77" t="s">
        <v>1</v>
      </c>
      <c r="D80" s="32" t="s">
        <v>2</v>
      </c>
      <c r="E80" s="2" t="s">
        <v>3</v>
      </c>
      <c r="F80" s="2" t="s">
        <v>4</v>
      </c>
      <c r="G80" s="2" t="s">
        <v>5</v>
      </c>
      <c r="H80" s="2" t="s">
        <v>6</v>
      </c>
      <c r="I80" s="2" t="s">
        <v>7</v>
      </c>
      <c r="J80" s="2" t="s">
        <v>8</v>
      </c>
      <c r="K80" s="2" t="s">
        <v>9</v>
      </c>
      <c r="L80" s="2" t="s">
        <v>10</v>
      </c>
      <c r="M80" s="2" t="s">
        <v>11</v>
      </c>
      <c r="N80" s="2" t="s">
        <v>12</v>
      </c>
      <c r="O80" s="2" t="s">
        <v>13</v>
      </c>
      <c r="P80" s="2" t="s">
        <v>14</v>
      </c>
      <c r="Q80" s="3" t="s">
        <v>15</v>
      </c>
    </row>
    <row r="81" spans="2:17" ht="15.75" x14ac:dyDescent="0.25">
      <c r="B81" s="101"/>
      <c r="C81" s="78">
        <v>31</v>
      </c>
      <c r="D81" s="32">
        <v>22.31</v>
      </c>
      <c r="E81" s="2">
        <v>1.3</v>
      </c>
      <c r="F81" s="2">
        <v>0.22</v>
      </c>
      <c r="G81" s="2">
        <v>1.23</v>
      </c>
      <c r="H81" s="2">
        <v>21</v>
      </c>
      <c r="I81" s="2">
        <v>1</v>
      </c>
      <c r="J81" s="2">
        <v>0</v>
      </c>
      <c r="K81" s="6">
        <v>0.18</v>
      </c>
      <c r="L81" s="2">
        <v>49</v>
      </c>
      <c r="M81" s="7">
        <f>(C81+H81)*E81*F81*G81*I81+J81</f>
        <v>18.292560000000002</v>
      </c>
      <c r="N81" s="7">
        <f>((M81/1.21))*0.18</f>
        <v>2.7212072727272729</v>
      </c>
      <c r="O81" s="9">
        <v>0</v>
      </c>
      <c r="P81" s="7">
        <f>(((1-O81)*C81))*F81+(D81*F81)+N81</f>
        <v>14.449407272727274</v>
      </c>
      <c r="Q81" s="36">
        <f>(M81/1.21-P81)/(M81/1.21)</f>
        <v>4.4213450714388786E-2</v>
      </c>
    </row>
    <row r="82" spans="2:17" ht="15.75" x14ac:dyDescent="0.25">
      <c r="B82" s="101"/>
      <c r="C82" s="78">
        <v>50</v>
      </c>
      <c r="D82" s="32">
        <v>22.31</v>
      </c>
      <c r="E82" s="2">
        <v>1.3</v>
      </c>
      <c r="F82" s="2">
        <v>0.22</v>
      </c>
      <c r="G82" s="2">
        <v>1.23</v>
      </c>
      <c r="H82" s="2">
        <v>21</v>
      </c>
      <c r="I82" s="2">
        <v>1</v>
      </c>
      <c r="J82" s="2">
        <v>0</v>
      </c>
      <c r="K82" s="6">
        <v>0.18</v>
      </c>
      <c r="L82" s="2">
        <v>49</v>
      </c>
      <c r="M82" s="7">
        <f t="shared" ref="M82:M85" si="26">(C82+H82)*E82*F82*G82*I82+J82</f>
        <v>24.976380000000002</v>
      </c>
      <c r="N82" s="7">
        <f t="shared" ref="N82:N85" si="27">((M82/1.21))*0.18</f>
        <v>3.7154945454545456</v>
      </c>
      <c r="O82" s="9">
        <v>0</v>
      </c>
      <c r="P82" s="7">
        <f t="shared" ref="P82:P85" si="28">(((1-O82)*C82))*F82+(D82*F82)+N82</f>
        <v>19.623694545454548</v>
      </c>
      <c r="Q82" s="36">
        <f t="shared" ref="Q82:Q83" si="29">(M82/1.21-P82)/(M82/1.21)</f>
        <v>4.9314976790071241E-2</v>
      </c>
    </row>
    <row r="83" spans="2:17" ht="15.75" x14ac:dyDescent="0.25">
      <c r="B83" s="101"/>
      <c r="C83" s="78">
        <v>80</v>
      </c>
      <c r="D83" s="32">
        <v>22.31</v>
      </c>
      <c r="E83" s="2">
        <v>1.3</v>
      </c>
      <c r="F83" s="2">
        <v>0.22</v>
      </c>
      <c r="G83" s="2">
        <v>1.23</v>
      </c>
      <c r="H83" s="2">
        <v>21</v>
      </c>
      <c r="I83" s="2">
        <v>1</v>
      </c>
      <c r="J83" s="2">
        <v>0</v>
      </c>
      <c r="K83" s="6">
        <v>0.18</v>
      </c>
      <c r="L83" s="2">
        <v>49</v>
      </c>
      <c r="M83" s="7">
        <f t="shared" si="26"/>
        <v>35.529780000000002</v>
      </c>
      <c r="N83" s="7">
        <f t="shared" si="27"/>
        <v>5.2854218181818187</v>
      </c>
      <c r="O83" s="9">
        <v>0</v>
      </c>
      <c r="P83" s="7">
        <f t="shared" si="28"/>
        <v>27.793621818181819</v>
      </c>
      <c r="Q83" s="36">
        <f t="shared" si="29"/>
        <v>5.3462126700474982E-2</v>
      </c>
    </row>
    <row r="84" spans="2:17" ht="15.75" x14ac:dyDescent="0.25">
      <c r="B84" s="101"/>
      <c r="C84" s="78">
        <v>130</v>
      </c>
      <c r="D84" s="32">
        <v>22.31</v>
      </c>
      <c r="E84" s="2">
        <v>1.3</v>
      </c>
      <c r="F84" s="2">
        <v>0.22</v>
      </c>
      <c r="G84" s="2">
        <v>1.23</v>
      </c>
      <c r="H84" s="2">
        <v>21</v>
      </c>
      <c r="I84" s="2">
        <v>1</v>
      </c>
      <c r="J84" s="2">
        <v>0</v>
      </c>
      <c r="K84" s="6">
        <v>0.18</v>
      </c>
      <c r="L84" s="2">
        <v>49</v>
      </c>
      <c r="M84" s="7">
        <f t="shared" si="26"/>
        <v>53.118780000000001</v>
      </c>
      <c r="N84" s="7">
        <f t="shared" si="27"/>
        <v>7.9019672727272727</v>
      </c>
      <c r="O84" s="9">
        <v>0</v>
      </c>
      <c r="P84" s="7">
        <f t="shared" si="28"/>
        <v>41.410167272727278</v>
      </c>
      <c r="Q84" s="36">
        <f>(M84/1.21-P84)/(M84/1.21)</f>
        <v>5.671210069207152E-2</v>
      </c>
    </row>
    <row r="85" spans="2:17" ht="16.5" thickBot="1" x14ac:dyDescent="0.3">
      <c r="B85" s="102"/>
      <c r="C85" s="79">
        <v>230</v>
      </c>
      <c r="D85" s="76">
        <v>22.31</v>
      </c>
      <c r="E85" s="54">
        <v>1.3</v>
      </c>
      <c r="F85" s="54">
        <v>0.22</v>
      </c>
      <c r="G85" s="54">
        <v>1.23</v>
      </c>
      <c r="H85" s="54">
        <v>21</v>
      </c>
      <c r="I85" s="54">
        <v>1</v>
      </c>
      <c r="J85" s="54">
        <v>0</v>
      </c>
      <c r="K85" s="55">
        <v>0.18</v>
      </c>
      <c r="L85" s="54">
        <v>49</v>
      </c>
      <c r="M85" s="56">
        <f t="shared" si="26"/>
        <v>88.296779999999998</v>
      </c>
      <c r="N85" s="56">
        <f t="shared" si="27"/>
        <v>13.135058181818181</v>
      </c>
      <c r="O85" s="58">
        <v>0</v>
      </c>
      <c r="P85" s="56">
        <f t="shared" si="28"/>
        <v>68.643258181818183</v>
      </c>
      <c r="Q85" s="59">
        <f t="shared" ref="Q85" si="30">(M85/1.21-P85)/(M85/1.21)</f>
        <v>5.9327617609611562E-2</v>
      </c>
    </row>
    <row r="88" spans="2:17" ht="15.75" thickBot="1" x14ac:dyDescent="0.3"/>
    <row r="89" spans="2:17" ht="18.75" x14ac:dyDescent="0.3">
      <c r="B89" s="103" t="s">
        <v>128</v>
      </c>
      <c r="C89" s="106" t="s">
        <v>16</v>
      </c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9"/>
    </row>
    <row r="90" spans="2:17" x14ac:dyDescent="0.25">
      <c r="B90" s="104"/>
      <c r="C90" s="1" t="s">
        <v>1</v>
      </c>
      <c r="D90" s="32" t="s">
        <v>2</v>
      </c>
      <c r="E90" s="2" t="s">
        <v>3</v>
      </c>
      <c r="F90" s="2" t="s">
        <v>4</v>
      </c>
      <c r="G90" s="2" t="s">
        <v>5</v>
      </c>
      <c r="H90" s="2" t="s">
        <v>6</v>
      </c>
      <c r="I90" s="2" t="s">
        <v>7</v>
      </c>
      <c r="J90" s="2" t="s">
        <v>8</v>
      </c>
      <c r="K90" s="2" t="s">
        <v>9</v>
      </c>
      <c r="L90" s="2" t="s">
        <v>10</v>
      </c>
      <c r="M90" s="2" t="s">
        <v>11</v>
      </c>
      <c r="N90" s="2" t="s">
        <v>12</v>
      </c>
      <c r="O90" s="2" t="s">
        <v>13</v>
      </c>
      <c r="P90" s="2" t="s">
        <v>14</v>
      </c>
      <c r="Q90" s="3" t="s">
        <v>15</v>
      </c>
    </row>
    <row r="91" spans="2:17" ht="15.75" x14ac:dyDescent="0.25">
      <c r="B91" s="104"/>
      <c r="C91" s="34">
        <v>50</v>
      </c>
      <c r="D91" s="32">
        <v>22.31</v>
      </c>
      <c r="E91" s="2">
        <v>1.39</v>
      </c>
      <c r="F91" s="2">
        <v>0.22</v>
      </c>
      <c r="G91" s="2">
        <v>1.23</v>
      </c>
      <c r="H91" s="2">
        <v>23</v>
      </c>
      <c r="I91" s="2">
        <v>1</v>
      </c>
      <c r="J91" s="2">
        <v>0</v>
      </c>
      <c r="K91" s="6">
        <v>0.18</v>
      </c>
      <c r="L91" s="2">
        <v>49</v>
      </c>
      <c r="M91" s="7">
        <f>(C91+H91)*E91*F91*G91*I91+J91</f>
        <v>27.457781999999998</v>
      </c>
      <c r="N91" s="7">
        <f>((M91/1.21))*0.18</f>
        <v>4.0846287272727269</v>
      </c>
      <c r="O91" s="9">
        <v>0</v>
      </c>
      <c r="P91" s="7">
        <f>(((1-O91)*C91))*F91+(D91*F91)+N91</f>
        <v>19.992828727272727</v>
      </c>
      <c r="Q91" s="36">
        <f>(M91/1.21-P91)/(M91/1.21)</f>
        <v>0.11896296794839441</v>
      </c>
    </row>
    <row r="92" spans="2:17" ht="15.75" x14ac:dyDescent="0.25">
      <c r="B92" s="104"/>
      <c r="C92" s="34">
        <v>90</v>
      </c>
      <c r="D92" s="32">
        <v>22.31</v>
      </c>
      <c r="E92" s="2">
        <v>1.38</v>
      </c>
      <c r="F92" s="2">
        <v>0.22</v>
      </c>
      <c r="G92" s="2">
        <v>1.23</v>
      </c>
      <c r="H92" s="2">
        <v>22</v>
      </c>
      <c r="I92" s="2">
        <v>1</v>
      </c>
      <c r="J92" s="2">
        <v>0</v>
      </c>
      <c r="K92" s="6">
        <v>0.18</v>
      </c>
      <c r="L92" s="2">
        <v>49</v>
      </c>
      <c r="M92" s="7">
        <f t="shared" ref="M92:M95" si="31">(C92+H92)*E92*F92*G92*I92+J92</f>
        <v>41.823935999999996</v>
      </c>
      <c r="N92" s="7">
        <f t="shared" ref="N92:N95" si="32">((M92/1.21))*0.18</f>
        <v>6.2217425454545445</v>
      </c>
      <c r="O92" s="9">
        <v>0</v>
      </c>
      <c r="P92" s="7">
        <f t="shared" ref="P92:P95" si="33">(((1-O92)*C92))*F92+(D92*F92)+N92</f>
        <v>30.929942545454544</v>
      </c>
      <c r="Q92" s="36">
        <f t="shared" ref="Q92:Q95" si="34">(M92/1.21-P92)/(M92/1.21)</f>
        <v>0.10517196468548527</v>
      </c>
    </row>
    <row r="93" spans="2:17" ht="15.75" x14ac:dyDescent="0.25">
      <c r="B93" s="104"/>
      <c r="C93" s="34">
        <v>150</v>
      </c>
      <c r="D93" s="32">
        <v>22.31</v>
      </c>
      <c r="E93" s="2">
        <v>1.38</v>
      </c>
      <c r="F93" s="2">
        <v>0.22</v>
      </c>
      <c r="G93" s="2">
        <v>1.23</v>
      </c>
      <c r="H93" s="2">
        <v>21</v>
      </c>
      <c r="I93" s="2">
        <v>1</v>
      </c>
      <c r="J93" s="2">
        <v>0</v>
      </c>
      <c r="K93" s="6">
        <v>0.18</v>
      </c>
      <c r="L93" s="2">
        <v>49</v>
      </c>
      <c r="M93" s="7">
        <f t="shared" si="31"/>
        <v>63.856187999999996</v>
      </c>
      <c r="N93" s="7">
        <f t="shared" si="32"/>
        <v>9.4992676363636352</v>
      </c>
      <c r="O93" s="9">
        <v>0</v>
      </c>
      <c r="P93" s="7">
        <f t="shared" si="33"/>
        <v>47.407467636363634</v>
      </c>
      <c r="Q93" s="36">
        <f t="shared" si="34"/>
        <v>0.101683992787042</v>
      </c>
    </row>
    <row r="94" spans="2:17" ht="15.75" x14ac:dyDescent="0.25">
      <c r="B94" s="104"/>
      <c r="C94" s="34">
        <v>250</v>
      </c>
      <c r="D94" s="32">
        <v>22.31</v>
      </c>
      <c r="E94" s="2">
        <v>1.37</v>
      </c>
      <c r="F94" s="2">
        <v>0.22</v>
      </c>
      <c r="G94" s="2">
        <v>1.23</v>
      </c>
      <c r="H94" s="2">
        <v>20</v>
      </c>
      <c r="I94" s="2">
        <v>1</v>
      </c>
      <c r="J94" s="2">
        <v>0</v>
      </c>
      <c r="K94" s="6">
        <v>0.18</v>
      </c>
      <c r="L94" s="2">
        <v>49</v>
      </c>
      <c r="M94" s="7">
        <f t="shared" si="31"/>
        <v>100.09494000000002</v>
      </c>
      <c r="N94" s="7">
        <f t="shared" si="32"/>
        <v>14.890156363636367</v>
      </c>
      <c r="O94" s="9">
        <v>0</v>
      </c>
      <c r="P94" s="7">
        <f t="shared" si="33"/>
        <v>74.798356363636373</v>
      </c>
      <c r="Q94" s="36">
        <f>(M94/1.21-P94)/(M94/1.21)</f>
        <v>9.5798337058796479E-2</v>
      </c>
    </row>
    <row r="95" spans="2:17" ht="15.75" x14ac:dyDescent="0.25">
      <c r="B95" s="104"/>
      <c r="C95" s="34">
        <v>450</v>
      </c>
      <c r="D95" s="32">
        <v>22.31</v>
      </c>
      <c r="E95" s="2">
        <v>1.36</v>
      </c>
      <c r="F95" s="2">
        <v>0.22</v>
      </c>
      <c r="G95" s="2">
        <v>1.23</v>
      </c>
      <c r="H95" s="2">
        <v>20</v>
      </c>
      <c r="I95" s="2">
        <v>1</v>
      </c>
      <c r="J95" s="2">
        <v>0</v>
      </c>
      <c r="K95" s="6">
        <v>0.18</v>
      </c>
      <c r="L95" s="2">
        <v>49</v>
      </c>
      <c r="M95" s="7">
        <f t="shared" si="31"/>
        <v>172.96752000000004</v>
      </c>
      <c r="N95" s="7">
        <f t="shared" si="32"/>
        <v>25.730705454545458</v>
      </c>
      <c r="O95" s="9">
        <v>0</v>
      </c>
      <c r="P95" s="7">
        <f t="shared" si="33"/>
        <v>129.63890545454547</v>
      </c>
      <c r="Q95" s="36">
        <f t="shared" ref="Q95:Q98" si="35">(M95/1.21-P95)/(M95/1.21)</f>
        <v>9.310675437793188E-2</v>
      </c>
    </row>
    <row r="96" spans="2:17" x14ac:dyDescent="0.25">
      <c r="B96" s="104"/>
      <c r="D96" s="33"/>
      <c r="Q96" s="18"/>
    </row>
    <row r="97" spans="2:17" ht="18.75" x14ac:dyDescent="0.3">
      <c r="B97" s="104"/>
      <c r="C97" s="107" t="s">
        <v>17</v>
      </c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9"/>
    </row>
    <row r="98" spans="2:17" x14ac:dyDescent="0.25">
      <c r="B98" s="104"/>
      <c r="C98" s="1" t="s">
        <v>1</v>
      </c>
      <c r="D98" s="32" t="s">
        <v>2</v>
      </c>
      <c r="E98" s="2" t="s">
        <v>3</v>
      </c>
      <c r="F98" s="2" t="s">
        <v>4</v>
      </c>
      <c r="G98" s="2" t="s">
        <v>5</v>
      </c>
      <c r="H98" s="2" t="s">
        <v>6</v>
      </c>
      <c r="I98" s="2" t="s">
        <v>7</v>
      </c>
      <c r="J98" s="2" t="s">
        <v>8</v>
      </c>
      <c r="K98" s="2" t="s">
        <v>9</v>
      </c>
      <c r="L98" s="2" t="s">
        <v>10</v>
      </c>
      <c r="M98" s="2" t="s">
        <v>11</v>
      </c>
      <c r="N98" s="2" t="s">
        <v>12</v>
      </c>
      <c r="O98" s="2" t="s">
        <v>13</v>
      </c>
      <c r="P98" s="2" t="s">
        <v>14</v>
      </c>
      <c r="Q98" s="3" t="s">
        <v>15</v>
      </c>
    </row>
    <row r="99" spans="2:17" ht="15.75" x14ac:dyDescent="0.25">
      <c r="B99" s="104"/>
      <c r="C99" s="34">
        <v>50</v>
      </c>
      <c r="D99" s="32">
        <v>22.31</v>
      </c>
      <c r="E99" s="2">
        <v>1.39</v>
      </c>
      <c r="F99" s="2">
        <v>0.22</v>
      </c>
      <c r="G99" s="2">
        <v>1.23</v>
      </c>
      <c r="H99" s="2">
        <v>23</v>
      </c>
      <c r="I99" s="2">
        <v>1</v>
      </c>
      <c r="J99" s="2">
        <v>0</v>
      </c>
      <c r="K99" s="6">
        <v>0.18</v>
      </c>
      <c r="L99" s="2">
        <v>49</v>
      </c>
      <c r="M99" s="7">
        <f>(C99+H99)*E99*F99*G99*I99+J99</f>
        <v>27.457781999999998</v>
      </c>
      <c r="N99" s="8">
        <f>(M99/1.21)*0.18</f>
        <v>4.0846287272727269</v>
      </c>
      <c r="O99" s="9">
        <v>0</v>
      </c>
      <c r="P99" s="7">
        <f t="shared" ref="P99:P103" si="36">(((1-O99)*C99))*F99+(D99*F99)+N99</f>
        <v>19.992828727272727</v>
      </c>
      <c r="Q99" s="36">
        <f>(M99/1.21-P99)/(M99/1.21)</f>
        <v>0.11896296794839441</v>
      </c>
    </row>
    <row r="100" spans="2:17" ht="15.75" x14ac:dyDescent="0.25">
      <c r="B100" s="104"/>
      <c r="C100" s="34">
        <v>90</v>
      </c>
      <c r="D100" s="32">
        <v>22.31</v>
      </c>
      <c r="E100" s="2">
        <v>1.38</v>
      </c>
      <c r="F100" s="2">
        <v>0.22</v>
      </c>
      <c r="G100" s="2">
        <v>1.23</v>
      </c>
      <c r="H100" s="2">
        <v>22</v>
      </c>
      <c r="I100" s="2">
        <v>1</v>
      </c>
      <c r="J100" s="2">
        <v>0</v>
      </c>
      <c r="K100" s="6">
        <v>0.18</v>
      </c>
      <c r="L100" s="2">
        <v>49</v>
      </c>
      <c r="M100" s="7">
        <f t="shared" ref="M100:M103" si="37">(C100+H100)*E100*F100*G100*I100+J100</f>
        <v>41.823935999999996</v>
      </c>
      <c r="N100" s="8">
        <f t="shared" ref="N100:N103" si="38">(M100/1.21)*0.18</f>
        <v>6.2217425454545445</v>
      </c>
      <c r="O100" s="9">
        <v>0</v>
      </c>
      <c r="P100" s="7">
        <f t="shared" si="36"/>
        <v>30.929942545454544</v>
      </c>
      <c r="Q100" s="36">
        <f>(M100/1.21-P100)/(M100/1.21)</f>
        <v>0.10517196468548527</v>
      </c>
    </row>
    <row r="101" spans="2:17" ht="15.75" x14ac:dyDescent="0.25">
      <c r="B101" s="104"/>
      <c r="C101" s="34">
        <v>150</v>
      </c>
      <c r="D101" s="32">
        <v>22.31</v>
      </c>
      <c r="E101" s="2">
        <v>1.38</v>
      </c>
      <c r="F101" s="2">
        <v>0.22</v>
      </c>
      <c r="G101" s="2">
        <v>1.23</v>
      </c>
      <c r="H101" s="2">
        <v>21</v>
      </c>
      <c r="I101" s="2">
        <v>1</v>
      </c>
      <c r="J101" s="2">
        <v>0</v>
      </c>
      <c r="K101" s="6">
        <v>0.18</v>
      </c>
      <c r="L101" s="2">
        <v>49</v>
      </c>
      <c r="M101" s="7">
        <f t="shared" si="37"/>
        <v>63.856187999999996</v>
      </c>
      <c r="N101" s="8">
        <f t="shared" si="38"/>
        <v>9.4992676363636352</v>
      </c>
      <c r="O101" s="9">
        <v>0</v>
      </c>
      <c r="P101" s="7">
        <f t="shared" si="36"/>
        <v>47.407467636363634</v>
      </c>
      <c r="Q101" s="36">
        <f>(M101/1.21-P101)/(M101/1.21)</f>
        <v>0.101683992787042</v>
      </c>
    </row>
    <row r="102" spans="2:17" ht="15.75" x14ac:dyDescent="0.25">
      <c r="B102" s="104"/>
      <c r="C102" s="34">
        <v>250</v>
      </c>
      <c r="D102" s="32">
        <v>22.31</v>
      </c>
      <c r="E102" s="2">
        <v>1.37</v>
      </c>
      <c r="F102" s="2">
        <v>0.22</v>
      </c>
      <c r="G102" s="2">
        <v>1.23</v>
      </c>
      <c r="H102" s="2">
        <v>20</v>
      </c>
      <c r="I102" s="2">
        <v>1</v>
      </c>
      <c r="J102" s="2">
        <v>0</v>
      </c>
      <c r="K102" s="6">
        <v>0.18</v>
      </c>
      <c r="L102" s="2">
        <v>49</v>
      </c>
      <c r="M102" s="7">
        <f t="shared" si="37"/>
        <v>100.09494000000002</v>
      </c>
      <c r="N102" s="8">
        <f t="shared" si="38"/>
        <v>14.890156363636367</v>
      </c>
      <c r="O102" s="9">
        <v>0</v>
      </c>
      <c r="P102" s="7">
        <f t="shared" si="36"/>
        <v>74.798356363636373</v>
      </c>
      <c r="Q102" s="36">
        <f>(M102/1.21-P102)/(M102/1.21)</f>
        <v>9.5798337058796479E-2</v>
      </c>
    </row>
    <row r="103" spans="2:17" ht="16.5" thickBot="1" x14ac:dyDescent="0.3">
      <c r="B103" s="105"/>
      <c r="C103" s="34">
        <v>450</v>
      </c>
      <c r="D103" s="32">
        <v>22.31</v>
      </c>
      <c r="E103" s="2">
        <v>1.36</v>
      </c>
      <c r="F103" s="2">
        <v>0.22</v>
      </c>
      <c r="G103" s="2">
        <v>1.23</v>
      </c>
      <c r="H103" s="2">
        <v>20</v>
      </c>
      <c r="I103" s="2">
        <v>1</v>
      </c>
      <c r="J103" s="2">
        <v>0</v>
      </c>
      <c r="K103" s="6">
        <v>0.18</v>
      </c>
      <c r="L103" s="2">
        <v>49</v>
      </c>
      <c r="M103" s="7">
        <f t="shared" si="37"/>
        <v>172.96752000000004</v>
      </c>
      <c r="N103" s="8">
        <f t="shared" si="38"/>
        <v>25.730705454545458</v>
      </c>
      <c r="O103" s="9">
        <v>0</v>
      </c>
      <c r="P103" s="7">
        <f t="shared" si="36"/>
        <v>129.63890545454547</v>
      </c>
      <c r="Q103" s="36">
        <f>(M103/1.21-P103)/(M103/1.21)</f>
        <v>9.310675437793188E-2</v>
      </c>
    </row>
    <row r="106" spans="2:17" ht="15.75" thickBot="1" x14ac:dyDescent="0.3"/>
    <row r="107" spans="2:17" ht="18.75" x14ac:dyDescent="0.3">
      <c r="B107" s="103" t="s">
        <v>129</v>
      </c>
      <c r="C107" s="106" t="s">
        <v>16</v>
      </c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9"/>
    </row>
    <row r="108" spans="2:17" x14ac:dyDescent="0.25">
      <c r="B108" s="104"/>
      <c r="C108" s="1" t="s">
        <v>1</v>
      </c>
      <c r="D108" s="32" t="s">
        <v>2</v>
      </c>
      <c r="E108" s="2" t="s">
        <v>3</v>
      </c>
      <c r="F108" s="2" t="s">
        <v>4</v>
      </c>
      <c r="G108" s="2" t="s">
        <v>5</v>
      </c>
      <c r="H108" s="2" t="s">
        <v>6</v>
      </c>
      <c r="I108" s="2" t="s">
        <v>7</v>
      </c>
      <c r="J108" s="2" t="s">
        <v>8</v>
      </c>
      <c r="K108" s="2" t="s">
        <v>9</v>
      </c>
      <c r="L108" s="2" t="s">
        <v>10</v>
      </c>
      <c r="M108" s="2" t="s">
        <v>11</v>
      </c>
      <c r="N108" s="2" t="s">
        <v>12</v>
      </c>
      <c r="O108" s="2" t="s">
        <v>13</v>
      </c>
      <c r="P108" s="2" t="s">
        <v>14</v>
      </c>
      <c r="Q108" s="3" t="s">
        <v>15</v>
      </c>
    </row>
    <row r="109" spans="2:17" ht="15.75" x14ac:dyDescent="0.25">
      <c r="B109" s="104"/>
      <c r="C109" s="145">
        <v>50</v>
      </c>
      <c r="D109" s="32">
        <v>0</v>
      </c>
      <c r="E109" s="2">
        <v>1.39</v>
      </c>
      <c r="F109" s="2">
        <v>1</v>
      </c>
      <c r="G109" s="2">
        <v>1.23</v>
      </c>
      <c r="H109" s="2">
        <v>0</v>
      </c>
      <c r="I109" s="2">
        <v>1</v>
      </c>
      <c r="J109" s="2">
        <v>0</v>
      </c>
      <c r="K109" s="6">
        <v>0.18</v>
      </c>
      <c r="L109" s="2">
        <v>0</v>
      </c>
      <c r="M109" s="7">
        <f>(C109+H109)*E109*F109*G109*I109+J109</f>
        <v>85.484999999999999</v>
      </c>
      <c r="N109" s="7">
        <f>((M109/1.21))*0.18</f>
        <v>12.716776859504131</v>
      </c>
      <c r="O109" s="9">
        <v>0</v>
      </c>
      <c r="P109" s="7">
        <f>(((1-O109)*C109))*F109+(D109*F109)+N109</f>
        <v>62.71677685950413</v>
      </c>
      <c r="Q109" s="36">
        <f>(M109/1.21-P109)/(M109/1.21)</f>
        <v>0.11227349827455112</v>
      </c>
    </row>
    <row r="110" spans="2:17" ht="15.75" x14ac:dyDescent="0.25">
      <c r="B110" s="104"/>
      <c r="C110" s="145">
        <v>90</v>
      </c>
      <c r="D110" s="32">
        <v>0</v>
      </c>
      <c r="E110" s="2">
        <v>1.38</v>
      </c>
      <c r="F110" s="2">
        <v>1</v>
      </c>
      <c r="G110" s="2">
        <v>1.23</v>
      </c>
      <c r="H110" s="2">
        <v>0</v>
      </c>
      <c r="I110" s="2">
        <v>1</v>
      </c>
      <c r="J110" s="2">
        <v>0</v>
      </c>
      <c r="K110" s="6">
        <v>0.18</v>
      </c>
      <c r="L110" s="2">
        <v>0</v>
      </c>
      <c r="M110" s="7">
        <f t="shared" ref="M110:M113" si="39">(C110+H110)*E110*F110*G110*I110+J110</f>
        <v>152.76599999999999</v>
      </c>
      <c r="N110" s="7">
        <f t="shared" ref="N110:N113" si="40">((M110/1.21))*0.18</f>
        <v>22.725520661157024</v>
      </c>
      <c r="O110" s="9">
        <v>0</v>
      </c>
      <c r="P110" s="7">
        <f t="shared" ref="P110:P113" si="41">(((1-O110)*C110))*F110+(D110*F110)+N110</f>
        <v>112.72552066115702</v>
      </c>
      <c r="Q110" s="36">
        <f t="shared" ref="Q110:Q113" si="42">(M110/1.21-P110)/(M110/1.21)</f>
        <v>0.10714504536349716</v>
      </c>
    </row>
    <row r="111" spans="2:17" ht="15.75" x14ac:dyDescent="0.25">
      <c r="B111" s="104"/>
      <c r="C111" s="145">
        <v>150</v>
      </c>
      <c r="D111" s="32">
        <v>0</v>
      </c>
      <c r="E111" s="2">
        <v>1.38</v>
      </c>
      <c r="F111" s="2">
        <v>1</v>
      </c>
      <c r="G111" s="2">
        <v>1.23</v>
      </c>
      <c r="H111" s="2">
        <v>0</v>
      </c>
      <c r="I111" s="2">
        <v>1</v>
      </c>
      <c r="J111" s="2">
        <v>0</v>
      </c>
      <c r="K111" s="6">
        <v>0.18</v>
      </c>
      <c r="L111" s="2">
        <v>0</v>
      </c>
      <c r="M111" s="7">
        <f t="shared" si="39"/>
        <v>254.60999999999996</v>
      </c>
      <c r="N111" s="7">
        <f t="shared" si="40"/>
        <v>37.875867768595036</v>
      </c>
      <c r="O111" s="9">
        <v>0</v>
      </c>
      <c r="P111" s="7">
        <f t="shared" si="41"/>
        <v>187.87586776859504</v>
      </c>
      <c r="Q111" s="36">
        <f t="shared" si="42"/>
        <v>0.10714504536349702</v>
      </c>
    </row>
    <row r="112" spans="2:17" ht="15.75" x14ac:dyDescent="0.25">
      <c r="B112" s="104"/>
      <c r="C112" s="145">
        <v>250</v>
      </c>
      <c r="D112" s="32">
        <v>0</v>
      </c>
      <c r="E112" s="2">
        <v>1.37</v>
      </c>
      <c r="F112" s="2">
        <v>1</v>
      </c>
      <c r="G112" s="2">
        <v>1.23</v>
      </c>
      <c r="H112" s="2">
        <v>0</v>
      </c>
      <c r="I112" s="2">
        <v>1</v>
      </c>
      <c r="J112" s="2">
        <v>0</v>
      </c>
      <c r="K112" s="6">
        <v>0.18</v>
      </c>
      <c r="L112" s="2">
        <v>0</v>
      </c>
      <c r="M112" s="7">
        <f t="shared" si="39"/>
        <v>421.27499999999998</v>
      </c>
      <c r="N112" s="7">
        <f t="shared" si="40"/>
        <v>62.669008264462811</v>
      </c>
      <c r="O112" s="9">
        <v>0</v>
      </c>
      <c r="P112" s="7">
        <f t="shared" si="41"/>
        <v>312.66900826446283</v>
      </c>
      <c r="Q112" s="36">
        <f>(M112/1.21-P112)/(M112/1.21)</f>
        <v>0.10194172452673428</v>
      </c>
    </row>
    <row r="113" spans="2:17" ht="15.75" x14ac:dyDescent="0.25">
      <c r="B113" s="104"/>
      <c r="C113" s="145">
        <v>450</v>
      </c>
      <c r="D113" s="32">
        <v>0</v>
      </c>
      <c r="E113" s="2">
        <v>1.36</v>
      </c>
      <c r="F113" s="2">
        <v>1</v>
      </c>
      <c r="G113" s="2">
        <v>1.23</v>
      </c>
      <c r="H113" s="2">
        <v>0</v>
      </c>
      <c r="I113" s="2">
        <v>1</v>
      </c>
      <c r="J113" s="2">
        <v>0</v>
      </c>
      <c r="K113" s="6">
        <v>0.18</v>
      </c>
      <c r="L113" s="2">
        <v>0</v>
      </c>
      <c r="M113" s="7">
        <f t="shared" si="39"/>
        <v>752.76</v>
      </c>
      <c r="N113" s="7">
        <f t="shared" si="40"/>
        <v>111.980826446281</v>
      </c>
      <c r="O113" s="9">
        <v>0</v>
      </c>
      <c r="P113" s="7">
        <f t="shared" si="41"/>
        <v>561.98082644628096</v>
      </c>
      <c r="Q113" s="36">
        <f t="shared" ref="Q113:Q116" si="43">(M113/1.21-P113)/(M113/1.21)</f>
        <v>9.666188426590161E-2</v>
      </c>
    </row>
    <row r="114" spans="2:17" x14ac:dyDescent="0.25">
      <c r="B114" s="104"/>
      <c r="D114" s="33"/>
      <c r="Q114" s="18"/>
    </row>
    <row r="115" spans="2:17" ht="18.75" x14ac:dyDescent="0.3">
      <c r="B115" s="104"/>
      <c r="C115" s="107" t="s">
        <v>17</v>
      </c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9"/>
    </row>
    <row r="116" spans="2:17" x14ac:dyDescent="0.25">
      <c r="B116" s="104"/>
      <c r="C116" s="1" t="s">
        <v>1</v>
      </c>
      <c r="D116" s="32" t="s">
        <v>2</v>
      </c>
      <c r="E116" s="2" t="s">
        <v>3</v>
      </c>
      <c r="F116" s="2" t="s">
        <v>4</v>
      </c>
      <c r="G116" s="2" t="s">
        <v>5</v>
      </c>
      <c r="H116" s="2" t="s">
        <v>6</v>
      </c>
      <c r="I116" s="2" t="s">
        <v>7</v>
      </c>
      <c r="J116" s="2" t="s">
        <v>8</v>
      </c>
      <c r="K116" s="2" t="s">
        <v>9</v>
      </c>
      <c r="L116" s="2" t="s">
        <v>10</v>
      </c>
      <c r="M116" s="2" t="s">
        <v>11</v>
      </c>
      <c r="N116" s="2" t="s">
        <v>12</v>
      </c>
      <c r="O116" s="2" t="s">
        <v>13</v>
      </c>
      <c r="P116" s="2" t="s">
        <v>14</v>
      </c>
      <c r="Q116" s="3" t="s">
        <v>15</v>
      </c>
    </row>
    <row r="117" spans="2:17" ht="15.75" x14ac:dyDescent="0.25">
      <c r="B117" s="104"/>
      <c r="C117" s="145">
        <v>50</v>
      </c>
      <c r="D117" s="32">
        <v>0</v>
      </c>
      <c r="E117" s="2">
        <v>1.39</v>
      </c>
      <c r="F117" s="2">
        <v>1</v>
      </c>
      <c r="G117" s="2">
        <v>1.23</v>
      </c>
      <c r="H117" s="2">
        <v>0</v>
      </c>
      <c r="I117" s="2">
        <v>1</v>
      </c>
      <c r="J117" s="2">
        <v>0</v>
      </c>
      <c r="K117" s="6">
        <v>0.18</v>
      </c>
      <c r="L117" s="2">
        <v>0</v>
      </c>
      <c r="M117" s="7">
        <f>(C117+H117)*E117*F117*G117*I117+J117</f>
        <v>85.484999999999999</v>
      </c>
      <c r="N117" s="8">
        <f>(M117/1.21)*0.18</f>
        <v>12.716776859504131</v>
      </c>
      <c r="O117" s="9">
        <v>0</v>
      </c>
      <c r="P117" s="7">
        <f t="shared" ref="P117:P121" si="44">(((1-O117)*C117))*F117+(D117*F117)+N117</f>
        <v>62.71677685950413</v>
      </c>
      <c r="Q117" s="36">
        <f>(M117/1.21-P117)/(M117/1.21)</f>
        <v>0.11227349827455112</v>
      </c>
    </row>
    <row r="118" spans="2:17" ht="15.75" x14ac:dyDescent="0.25">
      <c r="B118" s="104"/>
      <c r="C118" s="145">
        <v>90</v>
      </c>
      <c r="D118" s="32">
        <v>0</v>
      </c>
      <c r="E118" s="2">
        <v>1.38</v>
      </c>
      <c r="F118" s="2">
        <v>1</v>
      </c>
      <c r="G118" s="2">
        <v>1.23</v>
      </c>
      <c r="H118" s="2">
        <v>0</v>
      </c>
      <c r="I118" s="2">
        <v>1</v>
      </c>
      <c r="J118" s="2">
        <v>0</v>
      </c>
      <c r="K118" s="6">
        <v>0.18</v>
      </c>
      <c r="L118" s="2">
        <v>0</v>
      </c>
      <c r="M118" s="7">
        <f t="shared" ref="M118:M121" si="45">(C118+H118)*E118*F118*G118*I118+J118</f>
        <v>152.76599999999999</v>
      </c>
      <c r="N118" s="8">
        <f t="shared" ref="N118:N121" si="46">(M118/1.21)*0.18</f>
        <v>22.725520661157024</v>
      </c>
      <c r="O118" s="9">
        <v>0</v>
      </c>
      <c r="P118" s="7">
        <f t="shared" si="44"/>
        <v>112.72552066115702</v>
      </c>
      <c r="Q118" s="36">
        <f>(M118/1.21-P118)/(M118/1.21)</f>
        <v>0.10714504536349716</v>
      </c>
    </row>
    <row r="119" spans="2:17" ht="15.75" x14ac:dyDescent="0.25">
      <c r="B119" s="104"/>
      <c r="C119" s="145">
        <v>150</v>
      </c>
      <c r="D119" s="32">
        <v>0</v>
      </c>
      <c r="E119" s="2">
        <v>1.38</v>
      </c>
      <c r="F119" s="2">
        <v>1</v>
      </c>
      <c r="G119" s="2">
        <v>1.23</v>
      </c>
      <c r="H119" s="2">
        <v>0</v>
      </c>
      <c r="I119" s="2">
        <v>1</v>
      </c>
      <c r="J119" s="2">
        <v>0</v>
      </c>
      <c r="K119" s="6">
        <v>0.18</v>
      </c>
      <c r="L119" s="2">
        <v>0</v>
      </c>
      <c r="M119" s="7">
        <f t="shared" si="45"/>
        <v>254.60999999999996</v>
      </c>
      <c r="N119" s="8">
        <f t="shared" si="46"/>
        <v>37.875867768595036</v>
      </c>
      <c r="O119" s="9">
        <v>0</v>
      </c>
      <c r="P119" s="7">
        <f t="shared" si="44"/>
        <v>187.87586776859504</v>
      </c>
      <c r="Q119" s="36">
        <f>(M119/1.21-P119)/(M119/1.21)</f>
        <v>0.10714504536349702</v>
      </c>
    </row>
    <row r="120" spans="2:17" ht="15.75" x14ac:dyDescent="0.25">
      <c r="B120" s="104"/>
      <c r="C120" s="145">
        <v>250</v>
      </c>
      <c r="D120" s="32">
        <v>0</v>
      </c>
      <c r="E120" s="2">
        <v>1.37</v>
      </c>
      <c r="F120" s="2">
        <v>1</v>
      </c>
      <c r="G120" s="2">
        <v>1.23</v>
      </c>
      <c r="H120" s="2">
        <v>0</v>
      </c>
      <c r="I120" s="2">
        <v>1</v>
      </c>
      <c r="J120" s="2">
        <v>0</v>
      </c>
      <c r="K120" s="6">
        <v>0.18</v>
      </c>
      <c r="L120" s="2">
        <v>0</v>
      </c>
      <c r="M120" s="7">
        <f t="shared" si="45"/>
        <v>421.27499999999998</v>
      </c>
      <c r="N120" s="8">
        <f t="shared" si="46"/>
        <v>62.669008264462811</v>
      </c>
      <c r="O120" s="9">
        <v>0</v>
      </c>
      <c r="P120" s="7">
        <f t="shared" si="44"/>
        <v>312.66900826446283</v>
      </c>
      <c r="Q120" s="36">
        <f>(M120/1.21-P120)/(M120/1.21)</f>
        <v>0.10194172452673428</v>
      </c>
    </row>
    <row r="121" spans="2:17" ht="16.5" thickBot="1" x14ac:dyDescent="0.3">
      <c r="B121" s="105"/>
      <c r="C121" s="145">
        <v>450</v>
      </c>
      <c r="D121" s="32">
        <v>0</v>
      </c>
      <c r="E121" s="2">
        <v>1.36</v>
      </c>
      <c r="F121" s="2">
        <v>1</v>
      </c>
      <c r="G121" s="2">
        <v>1.23</v>
      </c>
      <c r="H121" s="2">
        <v>0</v>
      </c>
      <c r="I121" s="2">
        <v>1</v>
      </c>
      <c r="J121" s="2">
        <v>0</v>
      </c>
      <c r="K121" s="6">
        <v>0.18</v>
      </c>
      <c r="L121" s="2">
        <v>0</v>
      </c>
      <c r="M121" s="7">
        <f t="shared" si="45"/>
        <v>752.76</v>
      </c>
      <c r="N121" s="8">
        <f t="shared" si="46"/>
        <v>111.980826446281</v>
      </c>
      <c r="O121" s="9">
        <v>0</v>
      </c>
      <c r="P121" s="7">
        <f t="shared" si="44"/>
        <v>561.98082644628096</v>
      </c>
      <c r="Q121" s="36">
        <f>(M121/1.21-P121)/(M121/1.21)</f>
        <v>9.666188426590161E-2</v>
      </c>
    </row>
  </sheetData>
  <mergeCells count="17">
    <mergeCell ref="B89:B103"/>
    <mergeCell ref="C89:Q89"/>
    <mergeCell ref="C97:Q97"/>
    <mergeCell ref="B107:B121"/>
    <mergeCell ref="C107:Q107"/>
    <mergeCell ref="C115:Q115"/>
    <mergeCell ref="B79:B85"/>
    <mergeCell ref="C79:Q79"/>
    <mergeCell ref="B41:B56"/>
    <mergeCell ref="B60:B75"/>
    <mergeCell ref="B1:B37"/>
    <mergeCell ref="C1:O1"/>
    <mergeCell ref="C2:D2"/>
    <mergeCell ref="E2:F2"/>
    <mergeCell ref="C20:O20"/>
    <mergeCell ref="C21:D21"/>
    <mergeCell ref="E21:F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5EBEC-5F90-4D05-B646-034F9A9CA512}">
  <dimension ref="B1:AH412"/>
  <sheetViews>
    <sheetView zoomScale="70" zoomScaleNormal="70" workbookViewId="0">
      <selection activeCell="B20" sqref="B20:Q35"/>
    </sheetView>
  </sheetViews>
  <sheetFormatPr defaultColWidth="8.85546875" defaultRowHeight="14.45" customHeight="1" x14ac:dyDescent="0.25"/>
  <cols>
    <col min="2" max="2" width="7.42578125" customWidth="1"/>
    <col min="3" max="3" width="24.140625" bestFit="1" customWidth="1"/>
    <col min="4" max="4" width="22" bestFit="1" customWidth="1"/>
    <col min="5" max="5" width="10.85546875" bestFit="1" customWidth="1"/>
    <col min="6" max="6" width="8" bestFit="1" customWidth="1"/>
    <col min="7" max="7" width="8.85546875" customWidth="1"/>
    <col min="8" max="8" width="12.28515625" bestFit="1" customWidth="1"/>
    <col min="9" max="9" width="19.85546875" bestFit="1" customWidth="1"/>
    <col min="10" max="10" width="20.140625" bestFit="1" customWidth="1"/>
    <col min="11" max="11" width="9.42578125" bestFit="1" customWidth="1"/>
    <col min="12" max="12" width="15.85546875" bestFit="1" customWidth="1"/>
    <col min="13" max="13" width="32.140625" bestFit="1" customWidth="1"/>
    <col min="14" max="14" width="28.42578125" bestFit="1" customWidth="1"/>
    <col min="15" max="15" width="18.140625" bestFit="1" customWidth="1"/>
    <col min="16" max="16" width="31.5703125" bestFit="1" customWidth="1"/>
    <col min="17" max="18" width="9.42578125" bestFit="1" customWidth="1"/>
    <col min="28" max="28" width="32.140625" bestFit="1" customWidth="1"/>
  </cols>
  <sheetData>
    <row r="1" spans="2:19" ht="14.45" customHeight="1" thickBot="1" x14ac:dyDescent="0.3"/>
    <row r="2" spans="2:19" ht="18.75" x14ac:dyDescent="0.3">
      <c r="B2" s="122" t="s">
        <v>0</v>
      </c>
      <c r="C2" s="40" t="s">
        <v>16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2:19" ht="14.45" customHeight="1" x14ac:dyDescent="0.25">
      <c r="B3" s="123"/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3" t="s">
        <v>15</v>
      </c>
    </row>
    <row r="4" spans="2:19" ht="14.45" customHeight="1" x14ac:dyDescent="0.25">
      <c r="B4" s="123"/>
      <c r="C4" s="34">
        <v>15.38</v>
      </c>
      <c r="D4" s="2">
        <v>31.81</v>
      </c>
      <c r="E4" s="2">
        <v>1.43</v>
      </c>
      <c r="F4" s="2">
        <v>0.22</v>
      </c>
      <c r="G4" s="2">
        <v>1.23</v>
      </c>
      <c r="H4" s="2">
        <v>30</v>
      </c>
      <c r="I4" s="2">
        <v>1</v>
      </c>
      <c r="J4" s="2">
        <v>0</v>
      </c>
      <c r="K4" s="6">
        <v>0.18</v>
      </c>
      <c r="L4" s="2">
        <v>0</v>
      </c>
      <c r="M4" s="7">
        <f>(C4+H4)*E4*F4*G4*I4+J4+L4</f>
        <v>17.56015404</v>
      </c>
      <c r="N4" s="8">
        <f>((M4/1.2)-L4)*0.18</f>
        <v>2.6340231060000003</v>
      </c>
      <c r="O4" s="9">
        <v>0</v>
      </c>
      <c r="P4" s="8">
        <f>(((1-O4)*C4))*F4+D4*F4+N4</f>
        <v>13.015823106000001</v>
      </c>
      <c r="Q4" s="36">
        <f>(M4/1.2-P4)/(M4/1.2)</f>
        <v>0.11054380891979923</v>
      </c>
      <c r="R4" s="25"/>
      <c r="S4" s="24"/>
    </row>
    <row r="5" spans="2:19" ht="14.45" customHeight="1" x14ac:dyDescent="0.25">
      <c r="B5" s="123"/>
      <c r="C5" s="34">
        <v>40.85</v>
      </c>
      <c r="D5" s="2">
        <v>31.81</v>
      </c>
      <c r="E5" s="2">
        <v>1.42</v>
      </c>
      <c r="F5" s="2">
        <v>0.22</v>
      </c>
      <c r="G5" s="2">
        <v>1.23</v>
      </c>
      <c r="H5" s="2">
        <v>23</v>
      </c>
      <c r="I5" s="2">
        <v>1</v>
      </c>
      <c r="J5" s="2">
        <v>0</v>
      </c>
      <c r="K5" s="6">
        <v>0.18</v>
      </c>
      <c r="L5" s="2">
        <v>0</v>
      </c>
      <c r="M5" s="7">
        <f>(C5+H5)*E5*F5*G5*I5+J5+L5</f>
        <v>24.5344902</v>
      </c>
      <c r="N5" s="8">
        <f>((M5/1.2)-L5)*0.18</f>
        <v>3.6801735300000002</v>
      </c>
      <c r="O5" s="9">
        <v>0</v>
      </c>
      <c r="P5" s="8">
        <f t="shared" ref="P5:P8" si="0">(((1-O5)*C5))*F5+D5*F5+N5</f>
        <v>19.66537353</v>
      </c>
      <c r="Q5" s="36">
        <f>(M5/1.2-P5)/(M5/1.2)</f>
        <v>3.8152085344736575E-2</v>
      </c>
      <c r="R5" s="25"/>
      <c r="S5" s="24"/>
    </row>
    <row r="6" spans="2:19" ht="14.45" customHeight="1" x14ac:dyDescent="0.25">
      <c r="B6" s="123"/>
      <c r="C6" s="34">
        <v>62.19</v>
      </c>
      <c r="D6" s="2">
        <v>31.81</v>
      </c>
      <c r="E6" s="2">
        <v>1.33</v>
      </c>
      <c r="F6" s="2">
        <v>0.22</v>
      </c>
      <c r="G6" s="2">
        <v>1.23</v>
      </c>
      <c r="H6" s="2">
        <v>23</v>
      </c>
      <c r="I6" s="2">
        <v>1</v>
      </c>
      <c r="J6" s="2">
        <v>0</v>
      </c>
      <c r="K6" s="6">
        <v>0.18</v>
      </c>
      <c r="L6" s="2">
        <v>0</v>
      </c>
      <c r="M6" s="7">
        <f>(C6+H6)*E6*F6*G6*I6+J6+L6</f>
        <v>30.659710620000002</v>
      </c>
      <c r="N6" s="8">
        <f>((M6/1.2)-L6)*0.18</f>
        <v>4.5989565930000005</v>
      </c>
      <c r="O6" s="9">
        <v>0</v>
      </c>
      <c r="P6" s="8">
        <f t="shared" si="0"/>
        <v>25.278956593</v>
      </c>
      <c r="Q6" s="36">
        <f>(M6/1.2-P6)/(M6/1.2)</f>
        <v>1.0599014205568646E-2</v>
      </c>
      <c r="R6" s="25"/>
      <c r="S6" s="24"/>
    </row>
    <row r="7" spans="2:19" ht="14.45" customHeight="1" x14ac:dyDescent="0.25">
      <c r="B7" s="123"/>
      <c r="C7" s="34">
        <v>116.22</v>
      </c>
      <c r="D7" s="2">
        <v>31.81</v>
      </c>
      <c r="E7" s="2">
        <v>1.28</v>
      </c>
      <c r="F7" s="2">
        <v>0.22</v>
      </c>
      <c r="G7" s="2">
        <v>1.23</v>
      </c>
      <c r="H7" s="2">
        <v>20</v>
      </c>
      <c r="I7" s="2">
        <v>1</v>
      </c>
      <c r="J7" s="2">
        <v>0</v>
      </c>
      <c r="K7" s="6">
        <v>0.18</v>
      </c>
      <c r="L7" s="2">
        <v>0</v>
      </c>
      <c r="M7" s="7">
        <f>(C7+H7)*E7*F7*G7*I7+J7+L7</f>
        <v>47.182248960000003</v>
      </c>
      <c r="N7" s="8">
        <f>((M7/1.2)-L7)*0.18</f>
        <v>7.077337344</v>
      </c>
      <c r="O7" s="9">
        <v>0</v>
      </c>
      <c r="P7" s="8">
        <f t="shared" si="0"/>
        <v>39.643937344000001</v>
      </c>
      <c r="Q7" s="36">
        <f>(M7/1.2-P7)/(M7/1.2)</f>
        <v>-8.2759059054399123E-3</v>
      </c>
      <c r="R7" s="25"/>
      <c r="S7" s="24"/>
    </row>
    <row r="8" spans="2:19" ht="14.45" customHeight="1" x14ac:dyDescent="0.25">
      <c r="B8" s="123"/>
      <c r="C8" s="34">
        <v>287.2</v>
      </c>
      <c r="D8" s="2">
        <v>31.81</v>
      </c>
      <c r="E8" s="2">
        <v>1.35</v>
      </c>
      <c r="F8" s="2">
        <v>0.22</v>
      </c>
      <c r="G8" s="2">
        <v>1.23</v>
      </c>
      <c r="H8" s="2">
        <v>20</v>
      </c>
      <c r="I8" s="2">
        <v>1</v>
      </c>
      <c r="J8" s="2">
        <v>0</v>
      </c>
      <c r="K8" s="6">
        <v>0.18</v>
      </c>
      <c r="L8" s="2">
        <v>0</v>
      </c>
      <c r="M8" s="7">
        <f>(C8+H8)*E8*F8*G8*I8+J8+L8</f>
        <v>112.22323200000001</v>
      </c>
      <c r="N8" s="8">
        <f>((M8/1.2)-L8)*0.18</f>
        <v>16.833484800000001</v>
      </c>
      <c r="O8" s="9">
        <v>0</v>
      </c>
      <c r="P8" s="8">
        <f t="shared" si="0"/>
        <v>87.015684800000002</v>
      </c>
      <c r="Q8" s="36">
        <f>(M8/1.2-P8)/(M8/1.2)</f>
        <v>6.9543623908461347E-2</v>
      </c>
      <c r="R8" s="25"/>
      <c r="S8" s="24"/>
    </row>
    <row r="9" spans="2:19" ht="14.45" customHeight="1" x14ac:dyDescent="0.25">
      <c r="B9" s="123"/>
      <c r="Q9" s="18"/>
      <c r="S9" s="24"/>
    </row>
    <row r="10" spans="2:19" ht="14.45" customHeight="1" x14ac:dyDescent="0.25">
      <c r="B10" s="123"/>
      <c r="Q10" s="18"/>
      <c r="S10" s="24"/>
    </row>
    <row r="11" spans="2:19" ht="18.75" x14ac:dyDescent="0.3">
      <c r="B11" s="123"/>
      <c r="C11" s="43" t="s">
        <v>17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5"/>
      <c r="S11" s="24"/>
    </row>
    <row r="12" spans="2:19" ht="14.45" customHeight="1" x14ac:dyDescent="0.25">
      <c r="B12" s="123"/>
      <c r="C12" s="1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  <c r="N12" s="2" t="s">
        <v>12</v>
      </c>
      <c r="O12" s="2" t="s">
        <v>13</v>
      </c>
      <c r="P12" s="2" t="s">
        <v>14</v>
      </c>
      <c r="Q12" s="3" t="s">
        <v>15</v>
      </c>
      <c r="S12" s="24"/>
    </row>
    <row r="13" spans="2:19" ht="14.45" customHeight="1" x14ac:dyDescent="0.25">
      <c r="B13" s="123"/>
      <c r="C13" s="34">
        <v>15.38</v>
      </c>
      <c r="D13" s="2">
        <v>22.31</v>
      </c>
      <c r="E13" s="8">
        <v>1.1200000000000001</v>
      </c>
      <c r="F13" s="2">
        <v>0.22</v>
      </c>
      <c r="G13" s="2">
        <v>1.23</v>
      </c>
      <c r="H13" s="2">
        <v>20</v>
      </c>
      <c r="I13" s="2">
        <v>1</v>
      </c>
      <c r="J13" s="2">
        <v>0</v>
      </c>
      <c r="K13" s="6">
        <v>0.18</v>
      </c>
      <c r="L13" s="2">
        <v>2.4</v>
      </c>
      <c r="M13" s="7">
        <f>(C13+H13)*E13*F13*G13*I13+J13+L13</f>
        <v>13.122687360000002</v>
      </c>
      <c r="N13" s="8">
        <f>((M13/1.2)-L13)*0.18</f>
        <v>1.5364031040000004</v>
      </c>
      <c r="O13" s="9">
        <v>0</v>
      </c>
      <c r="P13" s="8">
        <f>(((1-O13)*C13))*F13+D13*F13+N13</f>
        <v>9.828203104</v>
      </c>
      <c r="Q13" s="36">
        <f>(M13/1.2-P13)/(M13/1.2)</f>
        <v>0.10126307201759038</v>
      </c>
      <c r="R13" s="25"/>
      <c r="S13" s="24"/>
    </row>
    <row r="14" spans="2:19" ht="14.45" customHeight="1" x14ac:dyDescent="0.25">
      <c r="B14" s="123"/>
      <c r="C14" s="34">
        <v>40.85</v>
      </c>
      <c r="D14" s="2">
        <v>22.31</v>
      </c>
      <c r="E14" s="2">
        <v>1.2</v>
      </c>
      <c r="F14" s="2">
        <v>0.22</v>
      </c>
      <c r="G14" s="2">
        <v>1.23</v>
      </c>
      <c r="H14" s="2">
        <v>20</v>
      </c>
      <c r="I14" s="2">
        <v>1</v>
      </c>
      <c r="J14" s="2">
        <v>0</v>
      </c>
      <c r="K14" s="6">
        <v>0.18</v>
      </c>
      <c r="L14" s="2">
        <v>2.4</v>
      </c>
      <c r="M14" s="7">
        <f>(C14+H14)*E14*F14*G14*I14+J14+L14</f>
        <v>22.159211999999997</v>
      </c>
      <c r="N14" s="8">
        <f>((M14/1.2)-L14)*0.18</f>
        <v>2.8918817999999997</v>
      </c>
      <c r="O14" s="9">
        <v>0</v>
      </c>
      <c r="P14" s="8">
        <f t="shared" ref="P14:P17" si="1">(((1-O14)*C14))*F14+D14*F14+N14</f>
        <v>16.787081799999999</v>
      </c>
      <c r="Q14" s="36">
        <f>(M14/1.2-P14)/(M14/1.2)</f>
        <v>9.0919922603745915E-2</v>
      </c>
      <c r="R14" s="25"/>
      <c r="S14" s="24"/>
    </row>
    <row r="15" spans="2:19" ht="14.45" customHeight="1" x14ac:dyDescent="0.25">
      <c r="B15" s="123"/>
      <c r="C15" s="34">
        <v>62.19</v>
      </c>
      <c r="D15" s="2">
        <v>22.31</v>
      </c>
      <c r="E15" s="2">
        <v>1.23</v>
      </c>
      <c r="F15" s="2">
        <v>0.22</v>
      </c>
      <c r="G15" s="2">
        <v>1.23</v>
      </c>
      <c r="H15" s="2">
        <v>20</v>
      </c>
      <c r="I15" s="2">
        <v>1</v>
      </c>
      <c r="J15" s="2">
        <v>0</v>
      </c>
      <c r="K15" s="6">
        <v>0.18</v>
      </c>
      <c r="L15" s="2">
        <v>2.4</v>
      </c>
      <c r="M15" s="7">
        <f>(C15+H15)*E15*F15*G15*I15+J15+L15</f>
        <v>29.755955220000001</v>
      </c>
      <c r="N15" s="8">
        <f>((M15/1.2)-L15)*0.18</f>
        <v>4.0313932829999999</v>
      </c>
      <c r="O15" s="9">
        <v>0</v>
      </c>
      <c r="P15" s="8">
        <f t="shared" si="1"/>
        <v>22.621393283</v>
      </c>
      <c r="Q15" s="36">
        <f>(M15/1.2-P15)/(M15/1.2)</f>
        <v>8.772305446425524E-2</v>
      </c>
      <c r="R15" s="25"/>
      <c r="S15" s="24"/>
    </row>
    <row r="16" spans="2:19" ht="14.45" customHeight="1" x14ac:dyDescent="0.25">
      <c r="B16" s="123"/>
      <c r="C16" s="34">
        <v>116.22</v>
      </c>
      <c r="D16" s="2">
        <v>22.31</v>
      </c>
      <c r="E16" s="2">
        <v>1.27</v>
      </c>
      <c r="F16" s="2">
        <v>0.22</v>
      </c>
      <c r="G16" s="2">
        <v>1.23</v>
      </c>
      <c r="H16" s="2">
        <v>20</v>
      </c>
      <c r="I16" s="2">
        <v>1</v>
      </c>
      <c r="J16" s="2">
        <v>0</v>
      </c>
      <c r="K16" s="6">
        <v>0.18</v>
      </c>
      <c r="L16" s="2">
        <v>2.4</v>
      </c>
      <c r="M16" s="7">
        <f>(C16+H16)*E16*F16*G16*I16+J16+L16</f>
        <v>49.213637640000002</v>
      </c>
      <c r="N16" s="8">
        <f>((M16/1.2)-L16)*0.18</f>
        <v>6.9500456460000004</v>
      </c>
      <c r="O16" s="9">
        <v>0</v>
      </c>
      <c r="P16" s="8">
        <f t="shared" si="1"/>
        <v>37.426645646000004</v>
      </c>
      <c r="Q16" s="36">
        <f>(M16/1.2-P16)/(M16/1.2)</f>
        <v>8.7407943632755947E-2</v>
      </c>
      <c r="R16" s="25"/>
      <c r="S16" s="24"/>
    </row>
    <row r="17" spans="2:19" ht="14.45" customHeight="1" thickBot="1" x14ac:dyDescent="0.3">
      <c r="B17" s="124"/>
      <c r="C17" s="34">
        <v>287.2</v>
      </c>
      <c r="D17" s="2">
        <v>22.31</v>
      </c>
      <c r="E17" s="2">
        <v>1.3</v>
      </c>
      <c r="F17" s="2">
        <v>0.22</v>
      </c>
      <c r="G17" s="2">
        <v>1.23</v>
      </c>
      <c r="H17" s="2">
        <v>20</v>
      </c>
      <c r="I17" s="2">
        <v>1</v>
      </c>
      <c r="J17" s="2">
        <v>0</v>
      </c>
      <c r="K17" s="6">
        <v>0.18</v>
      </c>
      <c r="L17" s="2">
        <v>2.4</v>
      </c>
      <c r="M17" s="7">
        <f>(C17+H17)*E17*F17*G17*I17+J17+L17</f>
        <v>110.46681600000001</v>
      </c>
      <c r="N17" s="8">
        <f>((M17/1.2)-L17)*0.18</f>
        <v>16.138022400000001</v>
      </c>
      <c r="O17" s="9">
        <v>0</v>
      </c>
      <c r="P17" s="8">
        <f t="shared" si="1"/>
        <v>84.230222399999988</v>
      </c>
      <c r="Q17" s="36">
        <f>(M17/1.2-P17)/(M17/1.2)</f>
        <v>8.5007873495693262E-2</v>
      </c>
      <c r="R17" s="25"/>
      <c r="S17" s="24"/>
    </row>
    <row r="19" spans="2:19" ht="14.45" customHeight="1" thickBot="1" x14ac:dyDescent="0.3"/>
    <row r="20" spans="2:19" ht="18.75" x14ac:dyDescent="0.3">
      <c r="B20" s="122" t="s">
        <v>18</v>
      </c>
      <c r="C20" s="40" t="s">
        <v>16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1" spans="2:19" ht="14.45" customHeight="1" x14ac:dyDescent="0.25">
      <c r="B21" s="123"/>
      <c r="C21" s="1" t="s">
        <v>19</v>
      </c>
      <c r="D21" s="2" t="s">
        <v>2</v>
      </c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  <c r="J21" s="2" t="s">
        <v>8</v>
      </c>
      <c r="K21" s="2" t="s">
        <v>9</v>
      </c>
      <c r="L21" s="2" t="s">
        <v>10</v>
      </c>
      <c r="M21" s="2" t="s">
        <v>11</v>
      </c>
      <c r="N21" s="2" t="s">
        <v>12</v>
      </c>
      <c r="O21" s="2" t="s">
        <v>13</v>
      </c>
      <c r="P21" s="2" t="s">
        <v>14</v>
      </c>
      <c r="Q21" s="3" t="s">
        <v>15</v>
      </c>
    </row>
    <row r="22" spans="2:19" ht="14.45" customHeight="1" x14ac:dyDescent="0.25">
      <c r="B22" s="123"/>
      <c r="C22" s="34">
        <v>11.01</v>
      </c>
      <c r="D22" s="2">
        <v>31.81</v>
      </c>
      <c r="E22" s="2">
        <v>1.67</v>
      </c>
      <c r="F22" s="2">
        <v>0.22</v>
      </c>
      <c r="G22" s="2">
        <v>1</v>
      </c>
      <c r="H22" s="2">
        <v>30</v>
      </c>
      <c r="I22" s="2">
        <v>1</v>
      </c>
      <c r="J22" s="2">
        <v>0</v>
      </c>
      <c r="K22" s="6">
        <v>0.18</v>
      </c>
      <c r="L22" s="2">
        <v>0</v>
      </c>
      <c r="M22" s="7">
        <f>(C22+H22)*E22*F22*G22*I22+J22+L22</f>
        <v>15.067074</v>
      </c>
      <c r="N22" s="8">
        <f>((M22/1.2)-L22)*0.18</f>
        <v>2.2600610999999997</v>
      </c>
      <c r="O22" s="9">
        <v>0.04</v>
      </c>
      <c r="P22" s="8">
        <f>(((1-O22)*C22)/1.23)*F22+D22*F22+N22</f>
        <v>11.148758660975609</v>
      </c>
      <c r="Q22" s="36">
        <f>(M22/1.2-P22)/(M22/1.2)</f>
        <v>0.11206977591198321</v>
      </c>
      <c r="S22" s="24"/>
    </row>
    <row r="23" spans="2:19" ht="14.45" customHeight="1" x14ac:dyDescent="0.25">
      <c r="B23" s="123"/>
      <c r="C23" s="34">
        <v>57.81</v>
      </c>
      <c r="D23" s="2">
        <v>31.81</v>
      </c>
      <c r="E23" s="2">
        <v>1.52</v>
      </c>
      <c r="F23" s="2">
        <v>0.22</v>
      </c>
      <c r="G23" s="2">
        <v>1</v>
      </c>
      <c r="H23" s="2">
        <v>27</v>
      </c>
      <c r="I23" s="2">
        <v>1</v>
      </c>
      <c r="J23" s="2">
        <v>0</v>
      </c>
      <c r="K23" s="6">
        <v>0.18</v>
      </c>
      <c r="L23" s="2">
        <v>0</v>
      </c>
      <c r="M23" s="7">
        <f>(C23+H23)*E23*F23*G23*I23+J23+L23</f>
        <v>28.360464</v>
      </c>
      <c r="N23" s="8">
        <f>((M23/1.2)-L23)*0.18</f>
        <v>4.2540696000000002</v>
      </c>
      <c r="O23" s="9">
        <v>0.04</v>
      </c>
      <c r="P23" s="8">
        <f t="shared" ref="P23:P26" si="2">(((1-O23)*C23)/1.23)*F23+D23*F23+N23</f>
        <v>21.178669599999999</v>
      </c>
      <c r="Q23" s="36">
        <f>(M23/1.2-P23)/(M23/1.2)</f>
        <v>0.10387913540483686</v>
      </c>
      <c r="S23" s="24"/>
    </row>
    <row r="24" spans="2:19" ht="14.45" customHeight="1" x14ac:dyDescent="0.25">
      <c r="B24" s="123"/>
      <c r="C24" s="34">
        <v>116.42</v>
      </c>
      <c r="D24" s="2">
        <v>31.81</v>
      </c>
      <c r="E24" s="2">
        <v>1.45</v>
      </c>
      <c r="F24" s="2">
        <v>0.22</v>
      </c>
      <c r="G24" s="2">
        <v>1</v>
      </c>
      <c r="H24" s="2">
        <v>25</v>
      </c>
      <c r="I24" s="2">
        <v>1</v>
      </c>
      <c r="J24" s="2">
        <v>0</v>
      </c>
      <c r="K24" s="6">
        <v>0.18</v>
      </c>
      <c r="L24" s="2">
        <v>0</v>
      </c>
      <c r="M24" s="7">
        <f>(C24+H24)*E24*F24*G24*I24+J24+L24</f>
        <v>45.112980000000007</v>
      </c>
      <c r="N24" s="8">
        <f>((M24/1.2)-L24)*0.18</f>
        <v>6.7669470000000009</v>
      </c>
      <c r="O24" s="9">
        <v>0.04</v>
      </c>
      <c r="P24" s="8">
        <f t="shared" si="2"/>
        <v>33.755312853658538</v>
      </c>
      <c r="Q24" s="36">
        <f>(M24/1.2-P24)/(M24/1.2)</f>
        <v>0.10211261981828204</v>
      </c>
      <c r="S24" s="24"/>
    </row>
    <row r="25" spans="2:19" ht="14.45" customHeight="1" x14ac:dyDescent="0.25">
      <c r="B25" s="123"/>
      <c r="C25" s="34">
        <v>233.64</v>
      </c>
      <c r="D25" s="2">
        <v>31.81</v>
      </c>
      <c r="E25" s="2">
        <v>1.38</v>
      </c>
      <c r="F25" s="2">
        <v>0.22</v>
      </c>
      <c r="G25" s="2">
        <v>1</v>
      </c>
      <c r="H25" s="2">
        <v>25</v>
      </c>
      <c r="I25" s="2">
        <v>1</v>
      </c>
      <c r="J25" s="2">
        <v>0</v>
      </c>
      <c r="K25" s="6">
        <v>0.18</v>
      </c>
      <c r="L25" s="2">
        <v>0</v>
      </c>
      <c r="M25" s="7">
        <f>(C25+H25)*E25*F25*G25*I25+J25+L25</f>
        <v>78.523103999999989</v>
      </c>
      <c r="N25" s="8">
        <f>((M25/1.2)-L25)*0.18</f>
        <v>11.778465599999999</v>
      </c>
      <c r="O25" s="9">
        <v>0.04</v>
      </c>
      <c r="P25" s="8">
        <f t="shared" si="2"/>
        <v>58.894363160975594</v>
      </c>
      <c r="Q25" s="36">
        <f>(M25/1.2-P25)/(M25/1.2)</f>
        <v>9.9968898412743368E-2</v>
      </c>
      <c r="S25" s="24"/>
    </row>
    <row r="26" spans="2:19" ht="14.45" customHeight="1" x14ac:dyDescent="0.25">
      <c r="B26" s="123"/>
      <c r="C26" s="34">
        <v>531.83000000000004</v>
      </c>
      <c r="D26" s="2">
        <v>31.81</v>
      </c>
      <c r="E26" s="2">
        <v>1.33</v>
      </c>
      <c r="F26" s="2">
        <v>0.22</v>
      </c>
      <c r="G26" s="2">
        <v>1</v>
      </c>
      <c r="H26" s="2">
        <v>25</v>
      </c>
      <c r="I26" s="2">
        <v>1</v>
      </c>
      <c r="J26" s="2">
        <v>0</v>
      </c>
      <c r="K26" s="6">
        <v>0.18</v>
      </c>
      <c r="L26" s="2">
        <v>0</v>
      </c>
      <c r="M26" s="7">
        <f>(C26+H26)*E26*F26*G26*I26+J26+L26</f>
        <v>162.92845800000001</v>
      </c>
      <c r="N26" s="8">
        <f>((M26/1.2)-L26)*0.18</f>
        <v>24.4392687</v>
      </c>
      <c r="O26" s="9">
        <v>0.04</v>
      </c>
      <c r="P26" s="8">
        <f t="shared" si="2"/>
        <v>122.7565711390244</v>
      </c>
      <c r="Q26" s="36">
        <f>(M26/1.2-P26)/(M26/1.2)</f>
        <v>9.5873813727315391E-2</v>
      </c>
      <c r="S26" s="24"/>
    </row>
    <row r="27" spans="2:19" ht="14.45" customHeight="1" x14ac:dyDescent="0.25">
      <c r="B27" s="123"/>
      <c r="Q27" s="18"/>
      <c r="S27" s="24"/>
    </row>
    <row r="28" spans="2:19" ht="14.45" customHeight="1" x14ac:dyDescent="0.25">
      <c r="B28" s="123"/>
      <c r="Q28" s="18"/>
      <c r="S28" s="24"/>
    </row>
    <row r="29" spans="2:19" ht="18.75" x14ac:dyDescent="0.3">
      <c r="B29" s="123"/>
      <c r="C29" s="43" t="s">
        <v>17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5"/>
      <c r="S29" s="24"/>
    </row>
    <row r="30" spans="2:19" ht="14.45" customHeight="1" x14ac:dyDescent="0.25">
      <c r="B30" s="123"/>
      <c r="C30" s="1" t="s">
        <v>19</v>
      </c>
      <c r="D30" s="2" t="s">
        <v>2</v>
      </c>
      <c r="E30" s="2" t="s">
        <v>3</v>
      </c>
      <c r="F30" s="2" t="s">
        <v>4</v>
      </c>
      <c r="G30" s="2" t="s">
        <v>5</v>
      </c>
      <c r="H30" s="2" t="s">
        <v>6</v>
      </c>
      <c r="I30" s="2" t="s">
        <v>7</v>
      </c>
      <c r="J30" s="2" t="s">
        <v>8</v>
      </c>
      <c r="K30" s="2" t="s">
        <v>9</v>
      </c>
      <c r="L30" s="2" t="s">
        <v>10</v>
      </c>
      <c r="M30" s="2" t="s">
        <v>11</v>
      </c>
      <c r="N30" s="2" t="s">
        <v>12</v>
      </c>
      <c r="O30" s="2" t="s">
        <v>13</v>
      </c>
      <c r="P30" s="2" t="s">
        <v>14</v>
      </c>
      <c r="Q30" s="3" t="s">
        <v>15</v>
      </c>
      <c r="S30" s="24"/>
    </row>
    <row r="31" spans="2:19" ht="14.45" customHeight="1" x14ac:dyDescent="0.25">
      <c r="B31" s="123"/>
      <c r="C31" s="34">
        <v>11.01</v>
      </c>
      <c r="D31" s="2">
        <v>22.31</v>
      </c>
      <c r="E31" s="2">
        <v>1.22</v>
      </c>
      <c r="F31" s="2">
        <v>0.22</v>
      </c>
      <c r="G31" s="2">
        <v>1</v>
      </c>
      <c r="H31" s="2">
        <v>20</v>
      </c>
      <c r="I31" s="2">
        <v>1</v>
      </c>
      <c r="J31" s="2">
        <v>0</v>
      </c>
      <c r="K31" s="6">
        <v>0.18</v>
      </c>
      <c r="L31" s="2">
        <v>2.4</v>
      </c>
      <c r="M31" s="7">
        <f>(C31+H31)*E31*F31*G31*I31+J31</f>
        <v>8.3230839999999997</v>
      </c>
      <c r="N31" s="8">
        <f>((M31/1.2))*0.18</f>
        <v>1.2484625999999999</v>
      </c>
      <c r="O31" s="9">
        <v>0.04</v>
      </c>
      <c r="P31" s="8">
        <f>(((1-O31)*C31)/1.23)*F31+D31*F31+N31</f>
        <v>8.0471601609756096</v>
      </c>
      <c r="Q31" s="36">
        <f>(M31/1.2-P31)/(M31/1.2)</f>
        <v>-0.16021803855046179</v>
      </c>
      <c r="S31" s="24"/>
    </row>
    <row r="32" spans="2:19" ht="14.45" customHeight="1" x14ac:dyDescent="0.25">
      <c r="B32" s="123"/>
      <c r="C32" s="34">
        <v>57.81</v>
      </c>
      <c r="D32" s="2">
        <v>22.31</v>
      </c>
      <c r="E32" s="2">
        <v>1.27</v>
      </c>
      <c r="F32" s="2">
        <v>0.22</v>
      </c>
      <c r="G32" s="2">
        <v>1</v>
      </c>
      <c r="H32" s="2">
        <v>20</v>
      </c>
      <c r="I32" s="2">
        <v>1</v>
      </c>
      <c r="J32" s="2">
        <v>0</v>
      </c>
      <c r="K32" s="6">
        <v>0.18</v>
      </c>
      <c r="L32" s="2">
        <v>2.4</v>
      </c>
      <c r="M32" s="7">
        <f t="shared" ref="M32:M35" si="3">(C32+H32)*E32*F32*G32*I32+J32</f>
        <v>21.740114000000002</v>
      </c>
      <c r="N32" s="8">
        <f t="shared" ref="N32:N35" si="4">((M32/1.2))*0.18</f>
        <v>3.2610171000000001</v>
      </c>
      <c r="O32" s="9">
        <v>0.04</v>
      </c>
      <c r="P32" s="8">
        <f t="shared" ref="P32:P35" si="5">(((1-O32)*C32)/1.23)*F32+D32*F32+N32</f>
        <v>18.095617099999998</v>
      </c>
      <c r="Q32" s="36">
        <f>(M32/1.2-P32)/(M32/1.2)</f>
        <v>1.1671272744938057E-3</v>
      </c>
      <c r="S32" s="24"/>
    </row>
    <row r="33" spans="2:19" ht="14.45" customHeight="1" x14ac:dyDescent="0.25">
      <c r="B33" s="123"/>
      <c r="C33" s="34">
        <v>116.42</v>
      </c>
      <c r="D33" s="2">
        <v>22.31</v>
      </c>
      <c r="E33" s="2">
        <v>1.2789999999999999</v>
      </c>
      <c r="F33" s="2">
        <v>0.22</v>
      </c>
      <c r="G33" s="2">
        <v>1</v>
      </c>
      <c r="H33" s="2">
        <v>20</v>
      </c>
      <c r="I33" s="2">
        <v>1</v>
      </c>
      <c r="J33" s="2">
        <v>0</v>
      </c>
      <c r="K33" s="6">
        <v>0.18</v>
      </c>
      <c r="L33" s="2">
        <v>2.4</v>
      </c>
      <c r="M33" s="7">
        <f t="shared" si="3"/>
        <v>38.385859599999996</v>
      </c>
      <c r="N33" s="8">
        <f t="shared" si="4"/>
        <v>5.7578789399999994</v>
      </c>
      <c r="O33" s="9">
        <v>0.04</v>
      </c>
      <c r="P33" s="8">
        <f t="shared" si="5"/>
        <v>30.656244793658537</v>
      </c>
      <c r="Q33" s="36">
        <f>(M33/1.2-P33)/(M33/1.2)</f>
        <v>4.163944390631158E-2</v>
      </c>
      <c r="S33" s="24"/>
    </row>
    <row r="34" spans="2:19" ht="14.45" customHeight="1" x14ac:dyDescent="0.25">
      <c r="B34" s="123"/>
      <c r="C34" s="34">
        <v>233.64</v>
      </c>
      <c r="D34" s="2">
        <v>22.31</v>
      </c>
      <c r="E34" s="2">
        <v>1.2889999999999999</v>
      </c>
      <c r="F34" s="2">
        <v>0.22</v>
      </c>
      <c r="G34" s="2">
        <v>1</v>
      </c>
      <c r="H34" s="2">
        <v>20</v>
      </c>
      <c r="I34" s="2">
        <v>1</v>
      </c>
      <c r="J34" s="2">
        <v>0</v>
      </c>
      <c r="K34" s="6">
        <v>0.18</v>
      </c>
      <c r="L34" s="2">
        <v>2.4</v>
      </c>
      <c r="M34" s="7">
        <f t="shared" si="3"/>
        <v>71.92723119999998</v>
      </c>
      <c r="N34" s="8">
        <f t="shared" si="4"/>
        <v>10.789084679999997</v>
      </c>
      <c r="O34" s="9">
        <v>0.04</v>
      </c>
      <c r="P34" s="8">
        <f t="shared" si="5"/>
        <v>55.814982240975596</v>
      </c>
      <c r="Q34" s="36">
        <f>(M34/1.2-P34)/(M34/1.2)</f>
        <v>6.8809162097001053E-2</v>
      </c>
      <c r="S34" s="24"/>
    </row>
    <row r="35" spans="2:19" ht="14.45" customHeight="1" thickBot="1" x14ac:dyDescent="0.3">
      <c r="B35" s="124"/>
      <c r="C35" s="34">
        <v>531.83000000000004</v>
      </c>
      <c r="D35" s="2">
        <v>22.31</v>
      </c>
      <c r="E35" s="2">
        <v>1.29</v>
      </c>
      <c r="F35" s="2">
        <v>0.22</v>
      </c>
      <c r="G35" s="2">
        <v>1</v>
      </c>
      <c r="H35" s="2">
        <v>20</v>
      </c>
      <c r="I35" s="2">
        <v>1</v>
      </c>
      <c r="J35" s="2">
        <v>0</v>
      </c>
      <c r="K35" s="6">
        <v>0.18</v>
      </c>
      <c r="L35" s="2">
        <v>2.4</v>
      </c>
      <c r="M35" s="7">
        <f t="shared" si="3"/>
        <v>156.60935400000002</v>
      </c>
      <c r="N35" s="8">
        <f t="shared" si="4"/>
        <v>23.491403100000003</v>
      </c>
      <c r="O35" s="9">
        <v>0.04</v>
      </c>
      <c r="P35" s="8">
        <f t="shared" si="5"/>
        <v>119.7187055390244</v>
      </c>
      <c r="Q35" s="36">
        <f>(M35/1.2-P35)/(M35/1.2)</f>
        <v>8.2670076994064728E-2</v>
      </c>
      <c r="S35" s="24"/>
    </row>
    <row r="37" spans="2:19" ht="14.45" customHeight="1" thickBot="1" x14ac:dyDescent="0.3"/>
    <row r="38" spans="2:19" ht="14.45" customHeight="1" x14ac:dyDescent="0.3">
      <c r="B38" s="122" t="s">
        <v>109</v>
      </c>
      <c r="C38" s="40" t="s">
        <v>16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</row>
    <row r="39" spans="2:19" ht="14.45" customHeight="1" x14ac:dyDescent="0.25">
      <c r="B39" s="123"/>
      <c r="C39" s="1" t="s">
        <v>19</v>
      </c>
      <c r="D39" s="2" t="s">
        <v>2</v>
      </c>
      <c r="E39" s="2" t="s">
        <v>3</v>
      </c>
      <c r="F39" s="2" t="s">
        <v>4</v>
      </c>
      <c r="G39" s="2" t="s">
        <v>5</v>
      </c>
      <c r="H39" s="2" t="s">
        <v>6</v>
      </c>
      <c r="I39" s="2" t="s">
        <v>7</v>
      </c>
      <c r="J39" s="2" t="s">
        <v>8</v>
      </c>
      <c r="K39" s="2" t="s">
        <v>9</v>
      </c>
      <c r="L39" s="2" t="s">
        <v>10</v>
      </c>
      <c r="M39" s="2" t="s">
        <v>11</v>
      </c>
      <c r="N39" s="2" t="s">
        <v>12</v>
      </c>
      <c r="O39" s="2" t="s">
        <v>13</v>
      </c>
      <c r="P39" s="2" t="s">
        <v>14</v>
      </c>
      <c r="Q39" s="3" t="s">
        <v>15</v>
      </c>
    </row>
    <row r="40" spans="2:19" ht="14.45" customHeight="1" x14ac:dyDescent="0.25">
      <c r="B40" s="123"/>
      <c r="C40" s="34">
        <v>20</v>
      </c>
      <c r="D40" s="34">
        <v>22.31</v>
      </c>
      <c r="E40" s="2">
        <v>1.23</v>
      </c>
      <c r="F40" s="2">
        <v>0.22</v>
      </c>
      <c r="G40" s="2">
        <v>1</v>
      </c>
      <c r="H40" s="2">
        <v>31</v>
      </c>
      <c r="I40" s="2">
        <v>1</v>
      </c>
      <c r="J40" s="2">
        <v>0</v>
      </c>
      <c r="K40" s="6">
        <v>0.18</v>
      </c>
      <c r="L40" s="2">
        <v>2.4</v>
      </c>
      <c r="M40" s="80">
        <f>(C40+H40)*E40*F40*G40*I40+J40</f>
        <v>13.800599999999999</v>
      </c>
      <c r="N40" s="80">
        <f>((M40/1.2))*0.18</f>
        <v>2.07009</v>
      </c>
      <c r="O40" s="9">
        <v>0.05</v>
      </c>
      <c r="P40" s="80">
        <f>(((1-O40)*C40)/1.23)*F40+D40*F40+N40</f>
        <v>10.376663983739839</v>
      </c>
      <c r="Q40" s="36">
        <f>(M40/1.2-P40)/(M40/1.2)</f>
        <v>9.7720622256437711E-2</v>
      </c>
    </row>
    <row r="41" spans="2:19" ht="14.45" customHeight="1" x14ac:dyDescent="0.25">
      <c r="B41" s="123"/>
      <c r="C41" s="34">
        <v>60</v>
      </c>
      <c r="D41" s="34">
        <v>22.31</v>
      </c>
      <c r="E41" s="2">
        <v>1.28</v>
      </c>
      <c r="F41" s="2">
        <v>0.22</v>
      </c>
      <c r="G41" s="2">
        <v>1</v>
      </c>
      <c r="H41" s="2">
        <v>28</v>
      </c>
      <c r="I41" s="2">
        <v>1</v>
      </c>
      <c r="J41" s="2">
        <v>0</v>
      </c>
      <c r="K41" s="6">
        <v>0.18</v>
      </c>
      <c r="L41" s="2">
        <v>2.4</v>
      </c>
      <c r="M41" s="80">
        <f t="shared" ref="M41:M44" si="6">(C41+H41)*E41*F41*G41*I41+J41</f>
        <v>24.780799999999999</v>
      </c>
      <c r="N41" s="80">
        <f t="shared" ref="N41:N44" si="7">((M41/1.2))*0.18</f>
        <v>3.7171199999999995</v>
      </c>
      <c r="O41" s="9">
        <v>0.05</v>
      </c>
      <c r="P41" s="80">
        <f t="shared" ref="P41:P44" si="8">(((1-O41)*C41)/1.23)*F41+D41*F41+N41</f>
        <v>18.820441951219514</v>
      </c>
      <c r="Q41" s="36">
        <f>(M41/1.2-P41)/(M41/1.2)</f>
        <v>8.8627875554323582E-2</v>
      </c>
    </row>
    <row r="42" spans="2:19" ht="14.45" customHeight="1" x14ac:dyDescent="0.25">
      <c r="B42" s="123"/>
      <c r="C42" s="34">
        <v>100</v>
      </c>
      <c r="D42" s="34">
        <v>22.31</v>
      </c>
      <c r="E42" s="2">
        <v>1.3</v>
      </c>
      <c r="F42" s="2">
        <v>0.22</v>
      </c>
      <c r="G42" s="2">
        <v>1</v>
      </c>
      <c r="H42" s="2">
        <v>25</v>
      </c>
      <c r="I42" s="2">
        <v>1</v>
      </c>
      <c r="J42" s="2">
        <v>0</v>
      </c>
      <c r="K42" s="6">
        <v>0.18</v>
      </c>
      <c r="L42" s="2">
        <v>2.4</v>
      </c>
      <c r="M42" s="80">
        <f t="shared" si="6"/>
        <v>35.75</v>
      </c>
      <c r="N42" s="80">
        <f t="shared" si="7"/>
        <v>5.3624999999999998</v>
      </c>
      <c r="O42" s="9">
        <v>0.05</v>
      </c>
      <c r="P42" s="80">
        <f t="shared" si="8"/>
        <v>27.262569918699189</v>
      </c>
      <c r="Q42" s="36">
        <f>(M42/1.2-P42)/(M42/1.2)</f>
        <v>8.4892757973733565E-2</v>
      </c>
    </row>
    <row r="43" spans="2:19" ht="14.45" customHeight="1" x14ac:dyDescent="0.25">
      <c r="B43" s="123"/>
      <c r="C43" s="34">
        <v>200</v>
      </c>
      <c r="D43" s="34">
        <v>22.31</v>
      </c>
      <c r="E43" s="2">
        <v>1.3</v>
      </c>
      <c r="F43" s="2">
        <v>0.22</v>
      </c>
      <c r="G43" s="2">
        <v>1</v>
      </c>
      <c r="H43" s="2">
        <v>22</v>
      </c>
      <c r="I43" s="2">
        <v>1</v>
      </c>
      <c r="J43" s="2">
        <v>0</v>
      </c>
      <c r="K43" s="6">
        <v>0.18</v>
      </c>
      <c r="L43" s="2">
        <v>2.4</v>
      </c>
      <c r="M43" s="80">
        <f t="shared" si="6"/>
        <v>63.492000000000004</v>
      </c>
      <c r="N43" s="80">
        <f t="shared" si="7"/>
        <v>9.5237999999999996</v>
      </c>
      <c r="O43" s="9">
        <v>0.05</v>
      </c>
      <c r="P43" s="80">
        <f t="shared" si="8"/>
        <v>48.415739837398377</v>
      </c>
      <c r="Q43" s="36">
        <f>(M43/1.2-P43)/(M43/1.2)</f>
        <v>8.4941602014772757E-2</v>
      </c>
    </row>
    <row r="44" spans="2:19" ht="14.45" customHeight="1" x14ac:dyDescent="0.25">
      <c r="B44" s="123"/>
      <c r="C44" s="34">
        <v>600</v>
      </c>
      <c r="D44" s="34">
        <v>22.31</v>
      </c>
      <c r="E44" s="2">
        <v>1.278</v>
      </c>
      <c r="F44" s="2">
        <v>0.22</v>
      </c>
      <c r="G44" s="2">
        <v>1</v>
      </c>
      <c r="H44" s="2">
        <v>20</v>
      </c>
      <c r="I44" s="2">
        <v>1</v>
      </c>
      <c r="J44" s="2">
        <v>0</v>
      </c>
      <c r="K44" s="6">
        <v>0.18</v>
      </c>
      <c r="L44" s="2">
        <v>2.4</v>
      </c>
      <c r="M44" s="80">
        <f t="shared" si="6"/>
        <v>174.3192</v>
      </c>
      <c r="N44" s="80">
        <f t="shared" si="7"/>
        <v>26.147879999999997</v>
      </c>
      <c r="O44" s="9">
        <v>0.05</v>
      </c>
      <c r="P44" s="80">
        <f t="shared" si="8"/>
        <v>133.00729951219512</v>
      </c>
      <c r="Q44" s="36">
        <f>(M44/1.2-P44)/(M44/1.2)</f>
        <v>8.438795373869229E-2</v>
      </c>
    </row>
    <row r="45" spans="2:19" ht="14.45" customHeight="1" x14ac:dyDescent="0.25">
      <c r="B45" s="123"/>
      <c r="Q45" s="18"/>
    </row>
    <row r="46" spans="2:19" ht="14.45" customHeight="1" x14ac:dyDescent="0.25">
      <c r="B46" s="123"/>
      <c r="Q46" s="18"/>
    </row>
    <row r="47" spans="2:19" ht="14.45" customHeight="1" x14ac:dyDescent="0.3">
      <c r="B47" s="123"/>
      <c r="C47" s="43" t="s">
        <v>17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</row>
    <row r="48" spans="2:19" ht="14.45" customHeight="1" x14ac:dyDescent="0.25">
      <c r="B48" s="123"/>
      <c r="C48" s="1" t="s">
        <v>19</v>
      </c>
      <c r="D48" s="2" t="s">
        <v>2</v>
      </c>
      <c r="E48" s="2" t="s">
        <v>3</v>
      </c>
      <c r="F48" s="2" t="s">
        <v>4</v>
      </c>
      <c r="G48" s="2" t="s">
        <v>5</v>
      </c>
      <c r="H48" s="2" t="s">
        <v>6</v>
      </c>
      <c r="I48" s="2" t="s">
        <v>7</v>
      </c>
      <c r="J48" s="2" t="s">
        <v>8</v>
      </c>
      <c r="K48" s="2" t="s">
        <v>9</v>
      </c>
      <c r="L48" s="2" t="s">
        <v>10</v>
      </c>
      <c r="M48" s="2" t="s">
        <v>11</v>
      </c>
      <c r="N48" s="2" t="s">
        <v>12</v>
      </c>
      <c r="O48" s="2" t="s">
        <v>13</v>
      </c>
      <c r="P48" s="2" t="s">
        <v>14</v>
      </c>
      <c r="Q48" s="3" t="s">
        <v>15</v>
      </c>
    </row>
    <row r="49" spans="2:34" ht="14.45" customHeight="1" x14ac:dyDescent="0.25">
      <c r="B49" s="123"/>
      <c r="C49" s="34">
        <v>20</v>
      </c>
      <c r="D49" s="34">
        <v>22.31</v>
      </c>
      <c r="E49" s="2">
        <v>1.23</v>
      </c>
      <c r="F49" s="2">
        <v>0.22</v>
      </c>
      <c r="G49" s="2">
        <v>1</v>
      </c>
      <c r="H49" s="2">
        <v>31</v>
      </c>
      <c r="I49" s="2">
        <v>1</v>
      </c>
      <c r="J49" s="2">
        <v>0</v>
      </c>
      <c r="K49" s="6">
        <v>0.18</v>
      </c>
      <c r="L49" s="2">
        <v>2.4</v>
      </c>
      <c r="M49" s="80">
        <f>(C49+H49)*E49*F49*G49*I49+J49</f>
        <v>13.800599999999999</v>
      </c>
      <c r="N49" s="80">
        <f>((M49/1.2))*0.18</f>
        <v>2.07009</v>
      </c>
      <c r="O49" s="9">
        <v>0.05</v>
      </c>
      <c r="P49" s="80">
        <f>(((1-O49)*C49)/1.23)*F49+D49*F49+N49</f>
        <v>10.376663983739839</v>
      </c>
      <c r="Q49" s="36">
        <f>(M49/1.2-P49)/(M49/1.2)</f>
        <v>9.7720622256437711E-2</v>
      </c>
    </row>
    <row r="50" spans="2:34" ht="14.45" customHeight="1" x14ac:dyDescent="0.25">
      <c r="B50" s="123"/>
      <c r="C50" s="34">
        <v>60</v>
      </c>
      <c r="D50" s="34">
        <v>22.31</v>
      </c>
      <c r="E50" s="2">
        <v>1.28</v>
      </c>
      <c r="F50" s="2">
        <v>0.22</v>
      </c>
      <c r="G50" s="2">
        <v>1</v>
      </c>
      <c r="H50" s="2">
        <v>28</v>
      </c>
      <c r="I50" s="2">
        <v>1</v>
      </c>
      <c r="J50" s="2">
        <v>0</v>
      </c>
      <c r="K50" s="6">
        <v>0.18</v>
      </c>
      <c r="L50" s="2">
        <v>2.4</v>
      </c>
      <c r="M50" s="80">
        <f t="shared" ref="M50:M53" si="9">(C50+H50)*E50*F50*G50*I50+J50</f>
        <v>24.780799999999999</v>
      </c>
      <c r="N50" s="80">
        <f t="shared" ref="N50:N53" si="10">((M50/1.2))*0.18</f>
        <v>3.7171199999999995</v>
      </c>
      <c r="O50" s="9">
        <v>0.05</v>
      </c>
      <c r="P50" s="80">
        <f t="shared" ref="P50:P53" si="11">(((1-O50)*C50)/1.23)*F50+D50*F50+N50</f>
        <v>18.820441951219514</v>
      </c>
      <c r="Q50" s="36">
        <f>(M50/1.2-P50)/(M50/1.2)</f>
        <v>8.8627875554323582E-2</v>
      </c>
    </row>
    <row r="51" spans="2:34" ht="14.45" customHeight="1" x14ac:dyDescent="0.25">
      <c r="B51" s="123"/>
      <c r="C51" s="34">
        <v>100</v>
      </c>
      <c r="D51" s="34">
        <v>22.31</v>
      </c>
      <c r="E51" s="2">
        <v>1.3</v>
      </c>
      <c r="F51" s="2">
        <v>0.22</v>
      </c>
      <c r="G51" s="2">
        <v>1</v>
      </c>
      <c r="H51" s="2">
        <v>25</v>
      </c>
      <c r="I51" s="2">
        <v>1</v>
      </c>
      <c r="J51" s="2">
        <v>0</v>
      </c>
      <c r="K51" s="6">
        <v>0.18</v>
      </c>
      <c r="L51" s="2">
        <v>2.4</v>
      </c>
      <c r="M51" s="80">
        <f t="shared" si="9"/>
        <v>35.75</v>
      </c>
      <c r="N51" s="80">
        <f t="shared" si="10"/>
        <v>5.3624999999999998</v>
      </c>
      <c r="O51" s="9">
        <v>0.05</v>
      </c>
      <c r="P51" s="80">
        <f t="shared" si="11"/>
        <v>27.262569918699189</v>
      </c>
      <c r="Q51" s="36">
        <f>(M51/1.2-P51)/(M51/1.2)</f>
        <v>8.4892757973733565E-2</v>
      </c>
    </row>
    <row r="52" spans="2:34" ht="14.45" customHeight="1" x14ac:dyDescent="0.25">
      <c r="B52" s="123"/>
      <c r="C52" s="34">
        <v>200</v>
      </c>
      <c r="D52" s="34">
        <v>22.31</v>
      </c>
      <c r="E52" s="2">
        <v>1.3</v>
      </c>
      <c r="F52" s="2">
        <v>0.22</v>
      </c>
      <c r="G52" s="2">
        <v>1</v>
      </c>
      <c r="H52" s="2">
        <v>22</v>
      </c>
      <c r="I52" s="2">
        <v>1</v>
      </c>
      <c r="J52" s="2">
        <v>0</v>
      </c>
      <c r="K52" s="6">
        <v>0.18</v>
      </c>
      <c r="L52" s="2">
        <v>2.4</v>
      </c>
      <c r="M52" s="80">
        <f t="shared" si="9"/>
        <v>63.492000000000004</v>
      </c>
      <c r="N52" s="80">
        <f t="shared" si="10"/>
        <v>9.5237999999999996</v>
      </c>
      <c r="O52" s="9">
        <v>0.05</v>
      </c>
      <c r="P52" s="80">
        <f t="shared" si="11"/>
        <v>48.415739837398377</v>
      </c>
      <c r="Q52" s="36">
        <f>(M52/1.2-P52)/(M52/1.2)</f>
        <v>8.4941602014772757E-2</v>
      </c>
    </row>
    <row r="53" spans="2:34" ht="14.45" customHeight="1" thickBot="1" x14ac:dyDescent="0.3">
      <c r="B53" s="124"/>
      <c r="C53" s="34">
        <v>600</v>
      </c>
      <c r="D53" s="34">
        <v>22.31</v>
      </c>
      <c r="E53" s="2">
        <v>1.278</v>
      </c>
      <c r="F53" s="2">
        <v>0.22</v>
      </c>
      <c r="G53" s="2">
        <v>1</v>
      </c>
      <c r="H53" s="2">
        <v>20</v>
      </c>
      <c r="I53" s="2">
        <v>1</v>
      </c>
      <c r="J53" s="2">
        <v>0</v>
      </c>
      <c r="K53" s="6">
        <v>0.18</v>
      </c>
      <c r="L53" s="2">
        <v>2.4</v>
      </c>
      <c r="M53" s="80">
        <f t="shared" si="9"/>
        <v>174.3192</v>
      </c>
      <c r="N53" s="80">
        <f t="shared" si="10"/>
        <v>26.147879999999997</v>
      </c>
      <c r="O53" s="9">
        <v>0.05</v>
      </c>
      <c r="P53" s="80">
        <f t="shared" si="11"/>
        <v>133.00729951219512</v>
      </c>
      <c r="Q53" s="36">
        <f>(M53/1.2-P53)/(M53/1.2)</f>
        <v>8.438795373869229E-2</v>
      </c>
    </row>
    <row r="55" spans="2:34" ht="14.45" customHeight="1" thickBot="1" x14ac:dyDescent="0.3"/>
    <row r="56" spans="2:34" ht="14.45" customHeight="1" x14ac:dyDescent="0.3">
      <c r="B56" s="122" t="s">
        <v>20</v>
      </c>
      <c r="C56" s="131" t="s">
        <v>16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3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</row>
    <row r="57" spans="2:34" ht="14.45" customHeight="1" x14ac:dyDescent="0.25">
      <c r="B57" s="123"/>
      <c r="C57" s="1" t="s">
        <v>1</v>
      </c>
      <c r="D57" s="2" t="s">
        <v>2</v>
      </c>
      <c r="E57" s="2" t="s">
        <v>3</v>
      </c>
      <c r="F57" s="2" t="s">
        <v>4</v>
      </c>
      <c r="G57" s="2" t="s">
        <v>5</v>
      </c>
      <c r="H57" s="2" t="s">
        <v>6</v>
      </c>
      <c r="I57" s="2" t="s">
        <v>7</v>
      </c>
      <c r="J57" s="2" t="s">
        <v>8</v>
      </c>
      <c r="K57" s="2" t="s">
        <v>9</v>
      </c>
      <c r="L57" s="2" t="s">
        <v>10</v>
      </c>
      <c r="M57" s="2" t="s">
        <v>11</v>
      </c>
      <c r="N57" s="2" t="s">
        <v>12</v>
      </c>
      <c r="O57" s="2" t="s">
        <v>13</v>
      </c>
      <c r="P57" s="2" t="s">
        <v>14</v>
      </c>
      <c r="Q57" s="3" t="s">
        <v>15</v>
      </c>
    </row>
    <row r="58" spans="2:34" ht="14.45" customHeight="1" x14ac:dyDescent="0.25">
      <c r="B58" s="123"/>
      <c r="C58" s="34">
        <v>13.9</v>
      </c>
      <c r="D58" s="2">
        <v>6.4</v>
      </c>
      <c r="E58" s="2">
        <v>1.36</v>
      </c>
      <c r="F58" s="2">
        <v>0.22</v>
      </c>
      <c r="G58" s="2">
        <v>1.23</v>
      </c>
      <c r="H58" s="2">
        <v>30</v>
      </c>
      <c r="I58" s="2">
        <v>1</v>
      </c>
      <c r="J58" s="2">
        <v>0</v>
      </c>
      <c r="K58" s="6">
        <v>0.18</v>
      </c>
      <c r="L58" s="2">
        <v>0</v>
      </c>
      <c r="M58" s="7">
        <f>(C58+H58)*E58*F58*G58*I58+J58+L58</f>
        <v>16.155902400000002</v>
      </c>
      <c r="N58" s="8">
        <f>((M58/1.2)-L58)*0.18</f>
        <v>2.4233853600000002</v>
      </c>
      <c r="O58" s="9">
        <v>0</v>
      </c>
      <c r="P58" s="8">
        <f>(1-O58)*C58*F58+D58+N58</f>
        <v>11.881385359999999</v>
      </c>
      <c r="Q58" s="36">
        <f>(M58/1.2-P58)/(M58/1.2)</f>
        <v>0.11749513713328717</v>
      </c>
      <c r="R58" s="53"/>
      <c r="Z58" s="49"/>
      <c r="AB58" s="48"/>
      <c r="AC58" s="47"/>
      <c r="AD58" s="50"/>
      <c r="AE58" s="47"/>
      <c r="AF58" s="51"/>
      <c r="AH58" s="24"/>
    </row>
    <row r="59" spans="2:34" ht="14.45" customHeight="1" x14ac:dyDescent="0.25">
      <c r="B59" s="123"/>
      <c r="C59" s="34">
        <v>70.900000000000006</v>
      </c>
      <c r="D59" s="2">
        <v>6.4</v>
      </c>
      <c r="E59" s="2">
        <v>1.37</v>
      </c>
      <c r="F59" s="2">
        <v>0.22</v>
      </c>
      <c r="G59" s="2">
        <v>1.23</v>
      </c>
      <c r="H59" s="2">
        <v>30</v>
      </c>
      <c r="I59" s="2">
        <v>1</v>
      </c>
      <c r="J59" s="2">
        <v>0</v>
      </c>
      <c r="K59" s="6">
        <v>0.18</v>
      </c>
      <c r="L59" s="2">
        <v>0</v>
      </c>
      <c r="M59" s="7">
        <f>(C59+H59)*E59*F59*G59*I59+J59+L59</f>
        <v>37.405849800000006</v>
      </c>
      <c r="N59" s="8">
        <f>((M59/1.2)-L59)*0.18</f>
        <v>5.610877470000001</v>
      </c>
      <c r="O59" s="9">
        <v>0</v>
      </c>
      <c r="P59" s="8">
        <f>(1-O59)*C59*F59+D59+N59</f>
        <v>27.608877470000003</v>
      </c>
      <c r="Q59" s="36">
        <f>(M59/1.2-P59)/(M59/1.2)</f>
        <v>0.11429219918431058</v>
      </c>
      <c r="R59" s="53"/>
      <c r="Z59" s="49"/>
      <c r="AB59" s="48"/>
      <c r="AC59" s="47"/>
      <c r="AD59" s="50"/>
      <c r="AE59" s="47"/>
      <c r="AF59" s="51"/>
      <c r="AH59" s="24"/>
    </row>
    <row r="60" spans="2:34" ht="14.45" customHeight="1" x14ac:dyDescent="0.25">
      <c r="B60" s="123"/>
      <c r="C60" s="34">
        <v>132</v>
      </c>
      <c r="D60" s="2">
        <v>6.4</v>
      </c>
      <c r="E60" s="2">
        <v>1.36</v>
      </c>
      <c r="F60" s="2">
        <v>0.22</v>
      </c>
      <c r="G60" s="2">
        <v>1.23</v>
      </c>
      <c r="H60" s="2">
        <v>30</v>
      </c>
      <c r="I60" s="2">
        <v>1</v>
      </c>
      <c r="J60" s="2">
        <v>0</v>
      </c>
      <c r="K60" s="6">
        <v>0.18</v>
      </c>
      <c r="L60" s="2">
        <v>0</v>
      </c>
      <c r="M60" s="7">
        <f>(C60+H60)*E60*F60*G60*I60+J60+L60</f>
        <v>59.618592000000007</v>
      </c>
      <c r="N60" s="8">
        <f>((M60/1.2)-L60)*0.18</f>
        <v>8.9427888000000006</v>
      </c>
      <c r="O60" s="9">
        <v>0</v>
      </c>
      <c r="P60" s="8">
        <f>(1-O60)*C60*F60+D60+N60</f>
        <v>44.3827888</v>
      </c>
      <c r="Q60" s="36">
        <f>(M60/1.2-P60)/(M60/1.2)</f>
        <v>0.10666547509206542</v>
      </c>
      <c r="R60" s="53"/>
      <c r="Z60" s="49"/>
      <c r="AB60" s="48"/>
      <c r="AC60" s="47"/>
      <c r="AD60" s="50"/>
      <c r="AE60" s="47"/>
      <c r="AF60" s="51"/>
      <c r="AH60" s="24"/>
    </row>
    <row r="61" spans="2:34" ht="14.45" customHeight="1" x14ac:dyDescent="0.25">
      <c r="B61" s="123"/>
      <c r="C61" s="34">
        <v>272</v>
      </c>
      <c r="D61" s="2">
        <v>6.4</v>
      </c>
      <c r="E61" s="2">
        <v>1.35</v>
      </c>
      <c r="F61" s="2">
        <v>0.22</v>
      </c>
      <c r="G61" s="2">
        <v>1.23</v>
      </c>
      <c r="H61" s="2">
        <v>30</v>
      </c>
      <c r="I61" s="2">
        <v>1</v>
      </c>
      <c r="J61" s="2">
        <v>0</v>
      </c>
      <c r="K61" s="6">
        <v>0.18</v>
      </c>
      <c r="L61" s="2">
        <v>0</v>
      </c>
      <c r="M61" s="7">
        <f>(C61+H61)*E61*F61*G61*I61+J61+L61</f>
        <v>110.32362000000002</v>
      </c>
      <c r="N61" s="8">
        <f>((M61/1.2)-L61)*0.18</f>
        <v>16.548543000000002</v>
      </c>
      <c r="O61" s="9">
        <v>0</v>
      </c>
      <c r="P61" s="8">
        <f>(1-O61)*C61*F61+D61+N61</f>
        <v>82.788543000000004</v>
      </c>
      <c r="Q61" s="36">
        <f>(M61/1.2-P61)/(M61/1.2)</f>
        <v>9.9501524696162205E-2</v>
      </c>
      <c r="R61" s="53"/>
      <c r="Z61" s="49"/>
      <c r="AB61" s="48"/>
      <c r="AC61" s="47"/>
      <c r="AD61" s="50"/>
      <c r="AE61" s="47"/>
      <c r="AF61" s="51"/>
      <c r="AH61" s="24"/>
    </row>
    <row r="62" spans="2:34" ht="14.45" customHeight="1" x14ac:dyDescent="0.25">
      <c r="B62" s="123"/>
      <c r="C62" s="34">
        <v>439</v>
      </c>
      <c r="D62" s="2">
        <v>6.4</v>
      </c>
      <c r="E62" s="2">
        <v>1.34</v>
      </c>
      <c r="F62" s="2">
        <v>0.22</v>
      </c>
      <c r="G62" s="2">
        <v>1.23</v>
      </c>
      <c r="H62" s="2">
        <v>30</v>
      </c>
      <c r="I62" s="2">
        <v>1</v>
      </c>
      <c r="J62" s="2">
        <v>0</v>
      </c>
      <c r="K62" s="6">
        <v>0.18</v>
      </c>
      <c r="L62" s="2">
        <v>0</v>
      </c>
      <c r="M62" s="7">
        <f>(C62+H62)*E62*F62*G62*I62+J62+L62</f>
        <v>170.06127599999999</v>
      </c>
      <c r="N62" s="8">
        <f>((M62/1.2)-L62)*0.18</f>
        <v>25.509191399999995</v>
      </c>
      <c r="O62" s="9">
        <v>0</v>
      </c>
      <c r="P62" s="8">
        <f>(1-O62)*C62*F62+D62+N62</f>
        <v>128.48919140000001</v>
      </c>
      <c r="Q62" s="36">
        <f>(M62/1.2-P62)/(M62/1.2)</f>
        <v>9.3344273860440613E-2</v>
      </c>
      <c r="R62" s="53"/>
      <c r="Z62" s="49"/>
      <c r="AB62" s="48"/>
      <c r="AC62" s="47"/>
      <c r="AD62" s="50"/>
      <c r="AE62" s="47"/>
      <c r="AF62" s="51"/>
      <c r="AH62" s="24"/>
    </row>
    <row r="63" spans="2:34" ht="14.45" customHeight="1" x14ac:dyDescent="0.25">
      <c r="B63" s="123"/>
      <c r="Q63" s="18"/>
      <c r="AH63" s="24"/>
    </row>
    <row r="64" spans="2:34" ht="14.45" customHeight="1" x14ac:dyDescent="0.25">
      <c r="B64" s="123"/>
      <c r="Q64" s="18"/>
      <c r="AH64" s="24"/>
    </row>
    <row r="65" spans="2:34" ht="14.45" customHeight="1" x14ac:dyDescent="0.3">
      <c r="B65" s="123"/>
      <c r="C65" s="134" t="s">
        <v>17</v>
      </c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6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H65" s="24"/>
    </row>
    <row r="66" spans="2:34" ht="14.45" customHeight="1" x14ac:dyDescent="0.25">
      <c r="B66" s="123"/>
      <c r="C66" s="1" t="s">
        <v>1</v>
      </c>
      <c r="D66" s="2" t="s">
        <v>2</v>
      </c>
      <c r="E66" s="2" t="s">
        <v>3</v>
      </c>
      <c r="F66" s="2" t="s">
        <v>4</v>
      </c>
      <c r="G66" s="2" t="s">
        <v>5</v>
      </c>
      <c r="H66" s="2" t="s">
        <v>6</v>
      </c>
      <c r="I66" s="2" t="s">
        <v>7</v>
      </c>
      <c r="J66" s="2" t="s">
        <v>8</v>
      </c>
      <c r="K66" s="2" t="s">
        <v>9</v>
      </c>
      <c r="L66" s="2" t="s">
        <v>10</v>
      </c>
      <c r="M66" s="2" t="s">
        <v>11</v>
      </c>
      <c r="N66" s="2" t="s">
        <v>12</v>
      </c>
      <c r="O66" s="2" t="s">
        <v>13</v>
      </c>
      <c r="P66" s="2" t="s">
        <v>14</v>
      </c>
      <c r="Q66" s="3" t="s">
        <v>15</v>
      </c>
      <c r="AH66" s="24"/>
    </row>
    <row r="67" spans="2:34" ht="14.45" customHeight="1" x14ac:dyDescent="0.25">
      <c r="B67" s="123"/>
      <c r="C67" s="34">
        <v>13.9</v>
      </c>
      <c r="D67" s="2">
        <v>4</v>
      </c>
      <c r="E67" s="2">
        <v>0.98</v>
      </c>
      <c r="F67" s="2">
        <v>0.22</v>
      </c>
      <c r="G67" s="2">
        <v>1.23</v>
      </c>
      <c r="H67" s="2">
        <v>20</v>
      </c>
      <c r="I67" s="2">
        <v>1</v>
      </c>
      <c r="J67" s="2">
        <v>0</v>
      </c>
      <c r="K67" s="6">
        <v>0.18</v>
      </c>
      <c r="L67" s="2">
        <v>2.4</v>
      </c>
      <c r="M67" s="7">
        <f>(C67+H67)*E67*F67*G67*I67+J67+L67</f>
        <v>11.3898732</v>
      </c>
      <c r="N67" s="8">
        <f>((M67/1.2)-L67)*0.18</f>
        <v>1.2764809800000001</v>
      </c>
      <c r="O67" s="9">
        <v>0</v>
      </c>
      <c r="P67" s="8">
        <f>(1-O67)*C67*F67+D67+N67</f>
        <v>8.3344809800000004</v>
      </c>
      <c r="Q67" s="36">
        <f>(M67/1.2-P67)/(M67/1.2)</f>
        <v>0.12190618803377025</v>
      </c>
      <c r="R67" s="53"/>
      <c r="Z67" s="49"/>
      <c r="AB67" s="48"/>
      <c r="AC67" s="47"/>
      <c r="AD67" s="50"/>
      <c r="AE67" s="47"/>
      <c r="AF67" s="51"/>
      <c r="AH67" s="24"/>
    </row>
    <row r="68" spans="2:34" ht="14.45" customHeight="1" x14ac:dyDescent="0.25">
      <c r="B68" s="123"/>
      <c r="C68" s="34">
        <v>70.900000000000006</v>
      </c>
      <c r="D68" s="2">
        <v>4</v>
      </c>
      <c r="E68" s="2">
        <v>1.23</v>
      </c>
      <c r="F68" s="2">
        <v>0.22</v>
      </c>
      <c r="G68" s="2">
        <v>1.23</v>
      </c>
      <c r="H68" s="2">
        <v>20</v>
      </c>
      <c r="I68" s="2">
        <v>1</v>
      </c>
      <c r="J68" s="2">
        <v>0</v>
      </c>
      <c r="K68" s="6">
        <v>0.18</v>
      </c>
      <c r="L68" s="2">
        <v>2.4</v>
      </c>
      <c r="M68" s="7">
        <f>(C68+H68)*E68*F68*G68*I68+J68+L68</f>
        <v>32.654974200000005</v>
      </c>
      <c r="N68" s="8">
        <f>((M68/1.2)-L68)*0.18</f>
        <v>4.4662461300000009</v>
      </c>
      <c r="O68" s="9">
        <v>0</v>
      </c>
      <c r="P68" s="8">
        <f>(1-O68)*C68*F68+D68+N68</f>
        <v>24.064246130000001</v>
      </c>
      <c r="Q68" s="36">
        <f>(M68/1.2-P68)/(M68/1.2)</f>
        <v>0.11569076186867745</v>
      </c>
      <c r="R68" s="53"/>
      <c r="Z68" s="49"/>
      <c r="AB68" s="48"/>
      <c r="AC68" s="47"/>
      <c r="AD68" s="50"/>
      <c r="AE68" s="47"/>
      <c r="AF68" s="51"/>
      <c r="AH68" s="24"/>
    </row>
    <row r="69" spans="2:34" ht="14.45" customHeight="1" x14ac:dyDescent="0.25">
      <c r="B69" s="123"/>
      <c r="C69" s="34">
        <v>132</v>
      </c>
      <c r="D69" s="2">
        <v>4</v>
      </c>
      <c r="E69" s="2">
        <v>1.28</v>
      </c>
      <c r="F69" s="2">
        <v>0.22</v>
      </c>
      <c r="G69" s="2">
        <v>1.23</v>
      </c>
      <c r="H69" s="2">
        <v>20</v>
      </c>
      <c r="I69" s="2">
        <v>1</v>
      </c>
      <c r="J69" s="2">
        <v>0</v>
      </c>
      <c r="K69" s="6">
        <v>0.18</v>
      </c>
      <c r="L69" s="2">
        <v>2.4</v>
      </c>
      <c r="M69" s="7">
        <f>(C69+H69)*E69*F69*G69*I69+J69+L69</f>
        <v>55.047936</v>
      </c>
      <c r="N69" s="8">
        <f>((M69/1.2)-L69)*0.18</f>
        <v>7.8251904000000003</v>
      </c>
      <c r="O69" s="9">
        <v>0</v>
      </c>
      <c r="P69" s="8">
        <f>(1-O69)*C69*F69+D69+N69</f>
        <v>40.865190400000003</v>
      </c>
      <c r="Q69" s="36">
        <f>(M69/1.2-P69)/(M69/1.2)</f>
        <v>0.10917225888360278</v>
      </c>
      <c r="R69" s="53"/>
      <c r="Z69" s="49"/>
      <c r="AB69" s="48"/>
      <c r="AC69" s="47"/>
      <c r="AD69" s="50"/>
      <c r="AE69" s="47"/>
      <c r="AF69" s="51"/>
      <c r="AH69" s="24"/>
    </row>
    <row r="70" spans="2:34" ht="14.45" customHeight="1" x14ac:dyDescent="0.25">
      <c r="B70" s="123"/>
      <c r="C70" s="34">
        <v>272</v>
      </c>
      <c r="D70" s="2">
        <v>4</v>
      </c>
      <c r="E70" s="2">
        <v>1.31</v>
      </c>
      <c r="F70" s="2">
        <v>0.22</v>
      </c>
      <c r="G70" s="2">
        <v>1.23</v>
      </c>
      <c r="H70" s="2">
        <v>20</v>
      </c>
      <c r="I70" s="2">
        <v>1</v>
      </c>
      <c r="J70" s="2">
        <v>0</v>
      </c>
      <c r="K70" s="6">
        <v>0.18</v>
      </c>
      <c r="L70" s="2">
        <v>2.4</v>
      </c>
      <c r="M70" s="7">
        <f>(C70+H70)*E70*F70*G70*I70+J70+L70</f>
        <v>105.90991200000002</v>
      </c>
      <c r="N70" s="8">
        <f>((M70/1.2)-L70)*0.18</f>
        <v>15.454486800000002</v>
      </c>
      <c r="O70" s="9">
        <v>0</v>
      </c>
      <c r="P70" s="8">
        <f>(1-O70)*C70*F70+D70+N70</f>
        <v>79.294486800000001</v>
      </c>
      <c r="Q70" s="36">
        <f>(M70/1.2-P70)/(M70/1.2)</f>
        <v>0.1015629947837179</v>
      </c>
      <c r="R70" s="53"/>
      <c r="Z70" s="49"/>
      <c r="AB70" s="48"/>
      <c r="AC70" s="47"/>
      <c r="AD70" s="50"/>
      <c r="AE70" s="47"/>
      <c r="AF70" s="51"/>
      <c r="AH70" s="24"/>
    </row>
    <row r="71" spans="2:34" ht="14.45" customHeight="1" thickBot="1" x14ac:dyDescent="0.3">
      <c r="B71" s="124"/>
      <c r="C71" s="60">
        <v>439</v>
      </c>
      <c r="D71" s="54">
        <v>4</v>
      </c>
      <c r="E71" s="54">
        <v>1.32</v>
      </c>
      <c r="F71" s="54">
        <v>0.22</v>
      </c>
      <c r="G71" s="54">
        <v>1.23</v>
      </c>
      <c r="H71" s="54">
        <v>20</v>
      </c>
      <c r="I71" s="54">
        <v>1</v>
      </c>
      <c r="J71" s="54">
        <v>0</v>
      </c>
      <c r="K71" s="55">
        <v>0.18</v>
      </c>
      <c r="L71" s="54">
        <v>2.4</v>
      </c>
      <c r="M71" s="56">
        <f>(C71+H71)*E71*F71*G71*I71+J71+L71</f>
        <v>166.35112799999999</v>
      </c>
      <c r="N71" s="57">
        <f>((M71/1.2)-L71)*0.18</f>
        <v>24.520669199999997</v>
      </c>
      <c r="O71" s="58">
        <v>0</v>
      </c>
      <c r="P71" s="57">
        <f>(1-O71)*C71*F71+D71+N71</f>
        <v>125.1006692</v>
      </c>
      <c r="Q71" s="59">
        <f>(M71/1.2-P71)/(M71/1.2)</f>
        <v>9.7566666094383123E-2</v>
      </c>
      <c r="R71" s="53"/>
      <c r="Z71" s="49"/>
      <c r="AB71" s="48"/>
      <c r="AC71" s="47"/>
      <c r="AD71" s="50"/>
      <c r="AE71" s="47"/>
      <c r="AF71" s="51"/>
      <c r="AH71" s="24"/>
    </row>
    <row r="73" spans="2:34" ht="14.45" customHeight="1" thickBot="1" x14ac:dyDescent="0.3"/>
    <row r="74" spans="2:34" ht="14.45" customHeight="1" x14ac:dyDescent="0.3">
      <c r="B74" s="122" t="s">
        <v>21</v>
      </c>
      <c r="C74" s="131" t="s">
        <v>16</v>
      </c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3"/>
    </row>
    <row r="75" spans="2:34" ht="14.45" customHeight="1" x14ac:dyDescent="0.25">
      <c r="B75" s="123"/>
      <c r="C75" s="1" t="s">
        <v>19</v>
      </c>
      <c r="D75" s="2" t="s">
        <v>2</v>
      </c>
      <c r="E75" s="2" t="s">
        <v>3</v>
      </c>
      <c r="F75" s="2" t="s">
        <v>4</v>
      </c>
      <c r="G75" s="2" t="s">
        <v>5</v>
      </c>
      <c r="H75" s="2" t="s">
        <v>6</v>
      </c>
      <c r="I75" s="2" t="s">
        <v>7</v>
      </c>
      <c r="J75" s="2" t="s">
        <v>8</v>
      </c>
      <c r="K75" s="2" t="s">
        <v>9</v>
      </c>
      <c r="L75" s="2" t="s">
        <v>10</v>
      </c>
      <c r="M75" s="2" t="s">
        <v>11</v>
      </c>
      <c r="N75" s="2" t="s">
        <v>12</v>
      </c>
      <c r="O75" s="2" t="s">
        <v>13</v>
      </c>
      <c r="P75" s="2" t="s">
        <v>14</v>
      </c>
      <c r="Q75" s="3" t="s">
        <v>15</v>
      </c>
    </row>
    <row r="76" spans="2:34" ht="14.45" customHeight="1" x14ac:dyDescent="0.25">
      <c r="B76" s="123"/>
      <c r="C76" s="34">
        <v>49.2</v>
      </c>
      <c r="D76" s="2">
        <v>11</v>
      </c>
      <c r="E76" s="2">
        <v>1.1100000000000001</v>
      </c>
      <c r="F76" s="2">
        <v>0.22</v>
      </c>
      <c r="G76" s="2">
        <v>1</v>
      </c>
      <c r="H76" s="2">
        <v>28</v>
      </c>
      <c r="I76" s="2">
        <v>1</v>
      </c>
      <c r="J76" s="2">
        <v>0</v>
      </c>
      <c r="K76" s="6">
        <v>0.18</v>
      </c>
      <c r="L76" s="2">
        <v>6</v>
      </c>
      <c r="M76" s="7">
        <f>(C76+H76)*E76*F76*G76*I76+J76+L76</f>
        <v>24.852240000000002</v>
      </c>
      <c r="N76" s="8">
        <f>((M76/1.2)-L76)*0.18</f>
        <v>2.6478360000000007</v>
      </c>
      <c r="O76" s="9">
        <v>0.28000000000000003</v>
      </c>
      <c r="P76" s="8">
        <f>(((1-O76)*C76)/1.23)*F76+D76+N76</f>
        <v>19.983836</v>
      </c>
      <c r="Q76" s="36">
        <f>(M76/1.2-P76)/(M76/1.2)</f>
        <v>3.5072766076619424E-2</v>
      </c>
    </row>
    <row r="77" spans="2:34" ht="14.45" customHeight="1" x14ac:dyDescent="0.25">
      <c r="B77" s="123"/>
      <c r="C77" s="34">
        <v>127.92</v>
      </c>
      <c r="D77" s="2">
        <v>11</v>
      </c>
      <c r="E77" s="2">
        <v>1.1000000000000001</v>
      </c>
      <c r="F77" s="2">
        <v>0.22</v>
      </c>
      <c r="G77" s="2">
        <v>1</v>
      </c>
      <c r="H77" s="2">
        <v>20</v>
      </c>
      <c r="I77" s="2">
        <v>1</v>
      </c>
      <c r="J77" s="2">
        <v>0</v>
      </c>
      <c r="K77" s="6">
        <v>0.18</v>
      </c>
      <c r="L77" s="2">
        <v>6</v>
      </c>
      <c r="M77" s="7">
        <f>(C77+H77)*E77*F77*G77*I77+J77+L77</f>
        <v>41.796640000000004</v>
      </c>
      <c r="N77" s="8">
        <f>((M77/1.2)-L77)*0.18</f>
        <v>5.1894960000000001</v>
      </c>
      <c r="O77" s="9">
        <v>0.28000000000000003</v>
      </c>
      <c r="P77" s="8">
        <f>(((1-O77)*C77)/1.23)*F77+D77+N77</f>
        <v>32.663096000000003</v>
      </c>
      <c r="Q77" s="36">
        <f>(M77/1.2-P77)/(M77/1.2)</f>
        <v>6.2228083405747411E-2</v>
      </c>
    </row>
    <row r="78" spans="2:34" ht="14.45" customHeight="1" x14ac:dyDescent="0.25">
      <c r="B78" s="123"/>
      <c r="C78" s="34">
        <v>238.62</v>
      </c>
      <c r="D78" s="2">
        <v>11</v>
      </c>
      <c r="E78" s="2">
        <v>1.08</v>
      </c>
      <c r="F78" s="2">
        <v>0.22</v>
      </c>
      <c r="G78" s="2">
        <v>1</v>
      </c>
      <c r="H78" s="2">
        <v>10</v>
      </c>
      <c r="I78" s="2">
        <v>1</v>
      </c>
      <c r="J78" s="2">
        <v>0</v>
      </c>
      <c r="K78" s="6">
        <v>0.18</v>
      </c>
      <c r="L78" s="2">
        <v>6</v>
      </c>
      <c r="M78" s="7">
        <f>(C78+H78)*E78*F78*G78*I78+J78+L78</f>
        <v>65.072112000000004</v>
      </c>
      <c r="N78" s="8">
        <f>((M78/1.2)-L78)*0.18</f>
        <v>8.6808168000000006</v>
      </c>
      <c r="O78" s="9">
        <v>0.28000000000000003</v>
      </c>
      <c r="P78" s="8">
        <f>(((1-O78)*C78)/1.23)*F78+D78+N78</f>
        <v>50.410416800000007</v>
      </c>
      <c r="Q78" s="36">
        <f>(M78/1.2-P78)/(M78/1.2)</f>
        <v>7.0377488900314131E-2</v>
      </c>
    </row>
    <row r="79" spans="2:34" ht="14.45" customHeight="1" x14ac:dyDescent="0.25">
      <c r="B79" s="123"/>
      <c r="C79" s="34">
        <v>437.88</v>
      </c>
      <c r="D79" s="2">
        <v>22</v>
      </c>
      <c r="E79" s="2">
        <v>1.1000000000000001</v>
      </c>
      <c r="F79" s="2">
        <v>0.22</v>
      </c>
      <c r="G79" s="2">
        <v>1</v>
      </c>
      <c r="H79" s="2">
        <v>5</v>
      </c>
      <c r="I79" s="2">
        <v>1</v>
      </c>
      <c r="J79" s="2">
        <v>0</v>
      </c>
      <c r="K79" s="6">
        <v>0.18</v>
      </c>
      <c r="L79" s="2">
        <v>6</v>
      </c>
      <c r="M79" s="7">
        <f>(C79+H79)*E79*F79*G79*I79+J79+L79</f>
        <v>113.17696000000001</v>
      </c>
      <c r="N79" s="8">
        <f>((M79/1.2)-L79)*0.18</f>
        <v>15.896544000000002</v>
      </c>
      <c r="O79" s="9">
        <v>0.28000000000000003</v>
      </c>
      <c r="P79" s="8">
        <f>(((1-O79)*C79)/1.23)*F79+D79+N79</f>
        <v>94.286944000000005</v>
      </c>
      <c r="Q79" s="36">
        <f>(M79/1.2-P79)/(M79/1.2)</f>
        <v>2.8828482404905911E-4</v>
      </c>
    </row>
    <row r="80" spans="2:34" ht="14.45" customHeight="1" x14ac:dyDescent="0.25">
      <c r="B80" s="123"/>
      <c r="C80" s="34">
        <v>992.61</v>
      </c>
      <c r="D80" s="2">
        <v>22</v>
      </c>
      <c r="E80" s="2">
        <v>1.01</v>
      </c>
      <c r="F80" s="2">
        <v>0.22</v>
      </c>
      <c r="G80" s="2">
        <v>1</v>
      </c>
      <c r="H80" s="2">
        <v>0</v>
      </c>
      <c r="I80" s="2">
        <v>1</v>
      </c>
      <c r="J80" s="2">
        <v>0</v>
      </c>
      <c r="K80" s="6">
        <v>0.18</v>
      </c>
      <c r="L80" s="2">
        <v>8</v>
      </c>
      <c r="M80" s="7">
        <f>(C80+H80)*E80*F80*G80*I80+J80+L80</f>
        <v>228.557942</v>
      </c>
      <c r="N80" s="8">
        <f>((M80/1.2)-L80)*0.18</f>
        <v>32.843691300000003</v>
      </c>
      <c r="O80" s="9">
        <v>0.28000000000000003</v>
      </c>
      <c r="P80" s="8">
        <f>(((1-O80)*C80)/1.23)*F80+D80+N80</f>
        <v>182.67249129999999</v>
      </c>
      <c r="Q80" s="36">
        <f>(M80/1.2-P80)/(M80/1.2)</f>
        <v>4.0912830935448417E-2</v>
      </c>
    </row>
    <row r="81" spans="2:17" ht="14.45" customHeight="1" x14ac:dyDescent="0.25">
      <c r="B81" s="123"/>
      <c r="Q81" s="18"/>
    </row>
    <row r="82" spans="2:17" ht="14.45" customHeight="1" x14ac:dyDescent="0.25">
      <c r="B82" s="123"/>
      <c r="Q82" s="18"/>
    </row>
    <row r="83" spans="2:17" ht="14.45" customHeight="1" x14ac:dyDescent="0.3">
      <c r="B83" s="123"/>
      <c r="C83" s="134" t="s">
        <v>17</v>
      </c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6"/>
    </row>
    <row r="84" spans="2:17" ht="14.45" customHeight="1" x14ac:dyDescent="0.25">
      <c r="B84" s="123"/>
      <c r="C84" s="1" t="s">
        <v>19</v>
      </c>
      <c r="D84" s="2" t="s">
        <v>2</v>
      </c>
      <c r="E84" s="2" t="s">
        <v>3</v>
      </c>
      <c r="F84" s="2" t="s">
        <v>4</v>
      </c>
      <c r="G84" s="2" t="s">
        <v>5</v>
      </c>
      <c r="H84" s="2" t="s">
        <v>6</v>
      </c>
      <c r="I84" s="2" t="s">
        <v>7</v>
      </c>
      <c r="J84" s="2" t="s">
        <v>8</v>
      </c>
      <c r="K84" s="2" t="s">
        <v>9</v>
      </c>
      <c r="L84" s="2" t="s">
        <v>10</v>
      </c>
      <c r="M84" s="2" t="s">
        <v>11</v>
      </c>
      <c r="N84" s="2" t="s">
        <v>12</v>
      </c>
      <c r="O84" s="2" t="s">
        <v>13</v>
      </c>
      <c r="P84" s="2" t="s">
        <v>14</v>
      </c>
      <c r="Q84" s="3" t="s">
        <v>15</v>
      </c>
    </row>
    <row r="85" spans="2:17" ht="14.45" customHeight="1" x14ac:dyDescent="0.25">
      <c r="B85" s="123"/>
      <c r="C85" s="34">
        <v>49.2</v>
      </c>
      <c r="D85" s="2">
        <v>11</v>
      </c>
      <c r="E85" s="2">
        <v>1.6</v>
      </c>
      <c r="F85" s="2">
        <v>0.22</v>
      </c>
      <c r="G85" s="2">
        <v>1</v>
      </c>
      <c r="H85" s="2">
        <v>10</v>
      </c>
      <c r="I85" s="2">
        <v>1</v>
      </c>
      <c r="J85" s="2">
        <v>0</v>
      </c>
      <c r="K85" s="6">
        <v>0.18</v>
      </c>
      <c r="L85" s="2">
        <v>5</v>
      </c>
      <c r="M85" s="7">
        <f>(C85+H85)*E85*F85*G85*I85+J85+L85</f>
        <v>25.838400000000004</v>
      </c>
      <c r="N85" s="8">
        <f>((M85/1.2)-L85)*0.18</f>
        <v>2.9757600000000006</v>
      </c>
      <c r="O85" s="9">
        <v>0.28000000000000003</v>
      </c>
      <c r="P85" s="8">
        <f>(((1-O85)*C85)/1.23)*F85+D85+N85</f>
        <v>20.31176</v>
      </c>
      <c r="Q85" s="36">
        <f>(M85/1.2-P85)/(M85/1.2)</f>
        <v>5.6671001300390295E-2</v>
      </c>
    </row>
    <row r="86" spans="2:17" ht="14.45" customHeight="1" x14ac:dyDescent="0.25">
      <c r="B86" s="123"/>
      <c r="C86" s="34">
        <v>127.92</v>
      </c>
      <c r="D86" s="2">
        <v>11</v>
      </c>
      <c r="E86" s="2">
        <v>1.28</v>
      </c>
      <c r="F86" s="2">
        <v>0.22</v>
      </c>
      <c r="G86" s="2">
        <v>1</v>
      </c>
      <c r="H86" s="2">
        <v>0</v>
      </c>
      <c r="I86" s="2">
        <v>1</v>
      </c>
      <c r="J86" s="2">
        <v>0</v>
      </c>
      <c r="K86" s="6">
        <v>0.18</v>
      </c>
      <c r="L86" s="2">
        <v>7</v>
      </c>
      <c r="M86" s="7">
        <f>(C86+H86)*E86*F86*G86*I86+J86+L86</f>
        <v>43.022272000000001</v>
      </c>
      <c r="N86" s="8">
        <f>((M86/1.2)-L86)*0.18</f>
        <v>5.1933408000000005</v>
      </c>
      <c r="O86" s="9">
        <v>0.28000000000000003</v>
      </c>
      <c r="P86" s="8">
        <f>(((1-O86)*C86)/1.23)*F86+D86+N86</f>
        <v>32.666940799999999</v>
      </c>
      <c r="Q86" s="36">
        <f>(M86/1.2-P86)/(M86/1.2)</f>
        <v>8.8836383164515462E-2</v>
      </c>
    </row>
    <row r="87" spans="2:17" ht="14.45" customHeight="1" x14ac:dyDescent="0.25">
      <c r="B87" s="123"/>
      <c r="C87" s="34">
        <v>238.62</v>
      </c>
      <c r="D87" s="2">
        <v>11</v>
      </c>
      <c r="E87" s="2">
        <v>1.17</v>
      </c>
      <c r="F87" s="2">
        <v>0.22</v>
      </c>
      <c r="G87" s="2">
        <v>1</v>
      </c>
      <c r="H87" s="2">
        <v>0</v>
      </c>
      <c r="I87" s="2">
        <v>1</v>
      </c>
      <c r="J87" s="2">
        <v>0</v>
      </c>
      <c r="K87" s="6">
        <v>0.18</v>
      </c>
      <c r="L87" s="2">
        <v>10</v>
      </c>
      <c r="M87" s="7">
        <f>(C87+H87)*E87*F87*G87*I87+J87+L87</f>
        <v>71.420788000000002</v>
      </c>
      <c r="N87" s="8">
        <f>((M87/1.2)-L87)*0.18</f>
        <v>8.9131181999999995</v>
      </c>
      <c r="O87" s="9">
        <v>0.28000000000000003</v>
      </c>
      <c r="P87" s="8">
        <f>(((1-O87)*C87)/1.23)*F87+D87+N87</f>
        <v>50.642718200000004</v>
      </c>
      <c r="Q87" s="36">
        <f>(M87/1.2-P87)/(M87/1.2)</f>
        <v>0.14910961441646373</v>
      </c>
    </row>
    <row r="88" spans="2:17" ht="14.45" customHeight="1" x14ac:dyDescent="0.25">
      <c r="B88" s="123"/>
      <c r="C88" s="34">
        <v>437.88</v>
      </c>
      <c r="D88" s="2">
        <v>22</v>
      </c>
      <c r="E88" s="2">
        <v>1.07</v>
      </c>
      <c r="F88" s="2">
        <v>0.22</v>
      </c>
      <c r="G88" s="2">
        <v>1</v>
      </c>
      <c r="H88" s="2">
        <v>0</v>
      </c>
      <c r="I88" s="2">
        <v>1</v>
      </c>
      <c r="J88" s="2">
        <v>0</v>
      </c>
      <c r="K88" s="6">
        <v>0.18</v>
      </c>
      <c r="L88" s="2">
        <v>19</v>
      </c>
      <c r="M88" s="7">
        <f>(C88+H88)*E88*F88*G88*I88+J88+L88</f>
        <v>122.07695200000001</v>
      </c>
      <c r="N88" s="8">
        <f>((M88/1.2)-L88)*0.18</f>
        <v>14.8915428</v>
      </c>
      <c r="O88" s="9">
        <v>0.28000000000000003</v>
      </c>
      <c r="P88" s="8">
        <f>(((1-O88)*C88)/1.23)*F88+D88+N88</f>
        <v>93.281942799999996</v>
      </c>
      <c r="Q88" s="36">
        <f>(M88/1.2-P88)/(M88/1.2)</f>
        <v>8.3051063070447642E-2</v>
      </c>
    </row>
    <row r="89" spans="2:17" ht="14.45" customHeight="1" thickBot="1" x14ac:dyDescent="0.3">
      <c r="B89" s="124"/>
      <c r="C89" s="34">
        <v>992.61</v>
      </c>
      <c r="D89" s="2">
        <v>22</v>
      </c>
      <c r="E89" s="2">
        <v>1.01</v>
      </c>
      <c r="F89" s="2">
        <v>0.22</v>
      </c>
      <c r="G89" s="2">
        <v>1</v>
      </c>
      <c r="H89" s="2">
        <v>0</v>
      </c>
      <c r="I89" s="2">
        <v>1</v>
      </c>
      <c r="J89" s="2">
        <v>0</v>
      </c>
      <c r="K89" s="6">
        <v>0.18</v>
      </c>
      <c r="L89" s="2">
        <v>27</v>
      </c>
      <c r="M89" s="7">
        <f>(C89+H89)*E89*F89*G89*I89+J89+L89</f>
        <v>247.557942</v>
      </c>
      <c r="N89" s="8">
        <f>((M89/1.2)-L89)*0.18</f>
        <v>32.273691299999996</v>
      </c>
      <c r="O89" s="9">
        <v>0.28000000000000003</v>
      </c>
      <c r="P89" s="8">
        <f>(((1-O89)*C89)/1.23)*F89+D89+N89</f>
        <v>182.1024913</v>
      </c>
      <c r="Q89" s="36">
        <f>(M89/1.2-P89)/(M89/1.2)</f>
        <v>0.11728548155405168</v>
      </c>
    </row>
    <row r="91" spans="2:17" ht="14.45" customHeight="1" thickBot="1" x14ac:dyDescent="0.3"/>
    <row r="92" spans="2:17" ht="14.45" customHeight="1" x14ac:dyDescent="0.3">
      <c r="B92" s="122" t="s">
        <v>22</v>
      </c>
      <c r="C92" s="131" t="s">
        <v>16</v>
      </c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3"/>
    </row>
    <row r="93" spans="2:17" ht="14.45" customHeight="1" x14ac:dyDescent="0.25">
      <c r="B93" s="123"/>
      <c r="C93" s="1" t="s">
        <v>19</v>
      </c>
      <c r="D93" s="2" t="s">
        <v>2</v>
      </c>
      <c r="E93" s="2" t="s">
        <v>3</v>
      </c>
      <c r="F93" s="2" t="s">
        <v>4</v>
      </c>
      <c r="G93" s="2" t="s">
        <v>5</v>
      </c>
      <c r="H93" s="2" t="s">
        <v>6</v>
      </c>
      <c r="I93" s="2" t="s">
        <v>7</v>
      </c>
      <c r="J93" s="2" t="s">
        <v>8</v>
      </c>
      <c r="K93" s="2" t="s">
        <v>9</v>
      </c>
      <c r="L93" s="2" t="s">
        <v>10</v>
      </c>
      <c r="M93" s="2" t="s">
        <v>11</v>
      </c>
      <c r="N93" s="2" t="s">
        <v>12</v>
      </c>
      <c r="O93" s="2" t="s">
        <v>13</v>
      </c>
      <c r="P93" s="2" t="s">
        <v>14</v>
      </c>
      <c r="Q93" s="3" t="s">
        <v>15</v>
      </c>
    </row>
    <row r="94" spans="2:17" ht="14.45" customHeight="1" x14ac:dyDescent="0.25">
      <c r="B94" s="123"/>
      <c r="C94" s="34">
        <v>36</v>
      </c>
      <c r="D94" s="2">
        <v>6.4</v>
      </c>
      <c r="E94" s="2">
        <v>1.33</v>
      </c>
      <c r="F94" s="2">
        <v>0.22</v>
      </c>
      <c r="G94" s="2">
        <v>1</v>
      </c>
      <c r="H94" s="2">
        <v>30</v>
      </c>
      <c r="I94" s="2">
        <v>1</v>
      </c>
      <c r="J94" s="2">
        <v>0</v>
      </c>
      <c r="K94" s="6">
        <v>0.18</v>
      </c>
      <c r="L94" s="2">
        <v>0</v>
      </c>
      <c r="M94" s="7">
        <f>(C94+H94)*E94*F94*G94*I94+J94+L94</f>
        <v>19.311600000000002</v>
      </c>
      <c r="N94" s="8">
        <f>((M94/1.2)-L94)*0.18</f>
        <v>2.8967400000000003</v>
      </c>
      <c r="O94" s="9">
        <v>0.25</v>
      </c>
      <c r="P94" s="8">
        <f>(((1-O94)*C94)/1.23)*F94+D94+N94</f>
        <v>14.126008292682929</v>
      </c>
      <c r="Q94" s="36">
        <f>(M94/1.2-P94)/(M94/1.2)</f>
        <v>0.12222653994389325</v>
      </c>
    </row>
    <row r="95" spans="2:17" ht="14.45" customHeight="1" x14ac:dyDescent="0.25">
      <c r="B95" s="123"/>
      <c r="C95" s="34">
        <v>179</v>
      </c>
      <c r="D95" s="2">
        <v>6.4</v>
      </c>
      <c r="E95" s="2">
        <v>1.1299999999999999</v>
      </c>
      <c r="F95" s="2">
        <v>0.22</v>
      </c>
      <c r="G95" s="2">
        <v>1</v>
      </c>
      <c r="H95" s="2">
        <v>30</v>
      </c>
      <c r="I95" s="2">
        <v>1</v>
      </c>
      <c r="J95" s="2">
        <v>0</v>
      </c>
      <c r="K95" s="6">
        <v>0.18</v>
      </c>
      <c r="L95" s="2">
        <v>0</v>
      </c>
      <c r="M95" s="7">
        <f>(C95+H95)*E95*F95*G95*I95+J95+L95</f>
        <v>51.9574</v>
      </c>
      <c r="N95" s="8">
        <f>((M95/1.2)-L95)*0.18</f>
        <v>7.7936100000000001</v>
      </c>
      <c r="O95" s="9">
        <v>0.25</v>
      </c>
      <c r="P95" s="8">
        <f>(((1-O95)*C95)/1.23)*F95+D95+N95</f>
        <v>38.205805121951222</v>
      </c>
      <c r="Q95" s="36">
        <f>(M95/1.2-P95)/(M95/1.2)</f>
        <v>0.11760468871919182</v>
      </c>
    </row>
    <row r="96" spans="2:17" ht="14.45" customHeight="1" x14ac:dyDescent="0.25">
      <c r="B96" s="123"/>
      <c r="C96" s="34">
        <v>269</v>
      </c>
      <c r="D96" s="2">
        <v>11</v>
      </c>
      <c r="E96" s="2">
        <v>1.1000000000000001</v>
      </c>
      <c r="F96" s="2">
        <v>0.22</v>
      </c>
      <c r="G96" s="2">
        <v>1</v>
      </c>
      <c r="H96" s="2">
        <v>28</v>
      </c>
      <c r="I96" s="2">
        <v>1</v>
      </c>
      <c r="J96" s="2">
        <v>0</v>
      </c>
      <c r="K96" s="6">
        <v>0.18</v>
      </c>
      <c r="L96" s="2">
        <v>6</v>
      </c>
      <c r="M96" s="7">
        <f>(C96+H96)*E96*F96*G96*I96+J96+L96</f>
        <v>77.874000000000009</v>
      </c>
      <c r="N96" s="8">
        <f>((M96/1.2)-L96)*0.18</f>
        <v>10.601100000000001</v>
      </c>
      <c r="O96" s="9">
        <v>0.25</v>
      </c>
      <c r="P96" s="8">
        <f>(((1-O96)*C96)/1.23)*F96+D96+N96</f>
        <v>57.68646585365854</v>
      </c>
      <c r="Q96" s="36">
        <f>(M96/1.2-P96)/(M96/1.2)</f>
        <v>0.11107996219033006</v>
      </c>
    </row>
    <row r="97" spans="2:17" ht="14.45" customHeight="1" x14ac:dyDescent="0.25">
      <c r="B97" s="123"/>
      <c r="C97" s="34">
        <v>769</v>
      </c>
      <c r="D97" s="2">
        <v>11</v>
      </c>
      <c r="E97" s="2">
        <v>1.05</v>
      </c>
      <c r="F97" s="2">
        <v>0.22</v>
      </c>
      <c r="G97" s="2">
        <v>1</v>
      </c>
      <c r="H97" s="2">
        <v>28</v>
      </c>
      <c r="I97" s="2">
        <v>1</v>
      </c>
      <c r="J97" s="2">
        <v>0</v>
      </c>
      <c r="K97" s="6">
        <v>0.18</v>
      </c>
      <c r="L97" s="2">
        <v>6</v>
      </c>
      <c r="M97" s="7">
        <f>(C97+H97)*E97*F97*G97*I97+J97+L97</f>
        <v>190.107</v>
      </c>
      <c r="N97" s="8">
        <f>((M97/1.2)-L97)*0.18</f>
        <v>27.436050000000002</v>
      </c>
      <c r="O97" s="9">
        <v>0.25</v>
      </c>
      <c r="P97" s="8">
        <f>(((1-O97)*C97)/1.23)*F97+D97+N97</f>
        <v>141.59458658536587</v>
      </c>
      <c r="Q97" s="36">
        <f>(M97/1.2-P97)/(M97/1.2)</f>
        <v>0.10622173879741917</v>
      </c>
    </row>
    <row r="98" spans="2:17" ht="14.45" customHeight="1" x14ac:dyDescent="0.25">
      <c r="B98" s="123"/>
      <c r="C98" s="34">
        <v>1999</v>
      </c>
      <c r="D98" s="2">
        <v>11</v>
      </c>
      <c r="E98" s="2">
        <v>1.02</v>
      </c>
      <c r="F98" s="2">
        <v>0.22</v>
      </c>
      <c r="G98" s="2">
        <v>1</v>
      </c>
      <c r="H98" s="2">
        <v>28</v>
      </c>
      <c r="I98" s="2">
        <v>1</v>
      </c>
      <c r="J98" s="2">
        <v>0</v>
      </c>
      <c r="K98" s="6">
        <v>0.18</v>
      </c>
      <c r="L98" s="2">
        <v>8</v>
      </c>
      <c r="M98" s="7">
        <f>(C98+H98)*E98*F98*G98*I98+J98+L98</f>
        <v>462.85879999999997</v>
      </c>
      <c r="N98" s="8">
        <f>((M98/1.2)-L98)*0.18</f>
        <v>67.988820000000004</v>
      </c>
      <c r="O98" s="9">
        <v>0.25</v>
      </c>
      <c r="P98" s="8">
        <f>(((1-O98)*C98)/1.23)*F98+D98+N98</f>
        <v>347.14735658536586</v>
      </c>
      <c r="Q98" s="36">
        <f>(M98/1.2-P98)/(M98/1.2)</f>
        <v>9.9991557031131245E-2</v>
      </c>
    </row>
    <row r="99" spans="2:17" ht="14.45" customHeight="1" x14ac:dyDescent="0.25">
      <c r="B99" s="123"/>
      <c r="Q99" s="18"/>
    </row>
    <row r="100" spans="2:17" ht="14.45" customHeight="1" x14ac:dyDescent="0.25">
      <c r="B100" s="123"/>
      <c r="Q100" s="18"/>
    </row>
    <row r="101" spans="2:17" ht="14.45" customHeight="1" x14ac:dyDescent="0.3">
      <c r="B101" s="123"/>
      <c r="C101" s="134" t="s">
        <v>17</v>
      </c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6"/>
    </row>
    <row r="102" spans="2:17" ht="14.45" customHeight="1" x14ac:dyDescent="0.25">
      <c r="B102" s="123"/>
      <c r="C102" s="1" t="s">
        <v>19</v>
      </c>
      <c r="D102" s="2" t="s">
        <v>2</v>
      </c>
      <c r="E102" s="2" t="s">
        <v>3</v>
      </c>
      <c r="F102" s="2" t="s">
        <v>4</v>
      </c>
      <c r="G102" s="2" t="s">
        <v>5</v>
      </c>
      <c r="H102" s="2" t="s">
        <v>6</v>
      </c>
      <c r="I102" s="2" t="s">
        <v>7</v>
      </c>
      <c r="J102" s="2" t="s">
        <v>8</v>
      </c>
      <c r="K102" s="2" t="s">
        <v>9</v>
      </c>
      <c r="L102" s="2" t="s">
        <v>10</v>
      </c>
      <c r="M102" s="2" t="s">
        <v>11</v>
      </c>
      <c r="N102" s="2" t="s">
        <v>12</v>
      </c>
      <c r="O102" s="2" t="s">
        <v>13</v>
      </c>
      <c r="P102" s="2" t="s">
        <v>14</v>
      </c>
      <c r="Q102" s="3" t="s">
        <v>15</v>
      </c>
    </row>
    <row r="103" spans="2:17" ht="14.45" customHeight="1" x14ac:dyDescent="0.25">
      <c r="B103" s="123"/>
      <c r="C103" s="34">
        <v>36</v>
      </c>
      <c r="D103" s="2">
        <v>4</v>
      </c>
      <c r="E103" s="2">
        <v>0.98</v>
      </c>
      <c r="F103" s="2">
        <v>0.22</v>
      </c>
      <c r="G103" s="2">
        <v>1</v>
      </c>
      <c r="H103" s="2">
        <v>20</v>
      </c>
      <c r="I103" s="2">
        <v>1</v>
      </c>
      <c r="J103" s="2">
        <v>0</v>
      </c>
      <c r="K103" s="6">
        <v>0.18</v>
      </c>
      <c r="L103" s="2">
        <v>2.4</v>
      </c>
      <c r="M103" s="7">
        <f>(C103+H103)*E103*F103*G103*I103+J103+L103</f>
        <v>14.473599999999999</v>
      </c>
      <c r="N103" s="8">
        <f>((M103/1.2)-L103)*0.18</f>
        <v>1.7390399999999999</v>
      </c>
      <c r="O103" s="9">
        <v>0.25</v>
      </c>
      <c r="P103" s="8">
        <f>(((1-O103)*C103)/1.23)*F103+D103+N103</f>
        <v>10.568308292682927</v>
      </c>
      <c r="Q103" s="36">
        <f>(M103/1.2-P103)/(M103/1.2)</f>
        <v>0.12378606903468993</v>
      </c>
    </row>
    <row r="104" spans="2:17" ht="14.45" customHeight="1" x14ac:dyDescent="0.25">
      <c r="B104" s="123"/>
      <c r="C104" s="34">
        <v>179</v>
      </c>
      <c r="D104" s="2">
        <v>4</v>
      </c>
      <c r="E104" s="2">
        <v>1.02</v>
      </c>
      <c r="F104" s="2">
        <v>0.22</v>
      </c>
      <c r="G104" s="2">
        <v>1</v>
      </c>
      <c r="H104" s="2">
        <v>20</v>
      </c>
      <c r="I104" s="2">
        <v>1</v>
      </c>
      <c r="J104" s="2">
        <v>0</v>
      </c>
      <c r="K104" s="6">
        <v>0.18</v>
      </c>
      <c r="L104" s="2">
        <v>2.4</v>
      </c>
      <c r="M104" s="7">
        <f>(C104+H104)*E104*F104*G104*I104+J104+L104</f>
        <v>47.055599999999998</v>
      </c>
      <c r="N104" s="8">
        <f>((M104/1.2)-L104)*0.18</f>
        <v>6.6263399999999999</v>
      </c>
      <c r="O104" s="9">
        <v>0.25</v>
      </c>
      <c r="P104" s="8">
        <f>(((1-O104)*C104)/1.23)*F104+D104+N104</f>
        <v>34.638535121951222</v>
      </c>
      <c r="Q104" s="36">
        <f>(M104/1.2-P104)/(M104/1.2)</f>
        <v>0.11665684538415269</v>
      </c>
    </row>
    <row r="105" spans="2:17" ht="14.45" customHeight="1" x14ac:dyDescent="0.25">
      <c r="B105" s="123"/>
      <c r="C105" s="34">
        <v>269</v>
      </c>
      <c r="D105" s="2">
        <v>11</v>
      </c>
      <c r="E105" s="2">
        <v>1.1200000000000001</v>
      </c>
      <c r="F105" s="2">
        <v>0.22</v>
      </c>
      <c r="G105" s="2">
        <v>1</v>
      </c>
      <c r="H105" s="2">
        <v>0</v>
      </c>
      <c r="I105" s="2">
        <v>1</v>
      </c>
      <c r="J105" s="2">
        <v>0</v>
      </c>
      <c r="K105" s="6">
        <v>0.18</v>
      </c>
      <c r="L105" s="2">
        <v>10</v>
      </c>
      <c r="M105" s="7">
        <f>(C105+H105)*E105*F105*G105*I105+J105+L105</f>
        <v>76.281600000000012</v>
      </c>
      <c r="N105" s="8">
        <f>((M105/1.2)-L105)*0.18</f>
        <v>9.642240000000001</v>
      </c>
      <c r="O105" s="9">
        <v>0.25</v>
      </c>
      <c r="P105" s="8">
        <f>(((1-O105)*C105)/1.23)*F105+D105+N105</f>
        <v>56.727605853658538</v>
      </c>
      <c r="Q105" s="36">
        <f>(M105/1.2-P105)/(M105/1.2)</f>
        <v>0.10760750922384647</v>
      </c>
    </row>
    <row r="106" spans="2:17" ht="14.45" customHeight="1" x14ac:dyDescent="0.25">
      <c r="B106" s="123"/>
      <c r="C106" s="34">
        <v>769</v>
      </c>
      <c r="D106" s="2">
        <v>11</v>
      </c>
      <c r="E106" s="2">
        <v>0.93</v>
      </c>
      <c r="F106" s="2">
        <v>0.22</v>
      </c>
      <c r="G106" s="2">
        <v>1</v>
      </c>
      <c r="H106" s="2">
        <v>0</v>
      </c>
      <c r="I106" s="2">
        <v>1</v>
      </c>
      <c r="J106" s="2">
        <v>0</v>
      </c>
      <c r="K106" s="6">
        <v>0.18</v>
      </c>
      <c r="L106" s="2">
        <v>26</v>
      </c>
      <c r="M106" s="7">
        <f>(C106+H106)*E106*F106*G106*I106+J106+L106</f>
        <v>183.33740000000003</v>
      </c>
      <c r="N106" s="8">
        <f>((M106/1.2)-L106)*0.18</f>
        <v>22.820610000000006</v>
      </c>
      <c r="O106" s="9">
        <v>0.25</v>
      </c>
      <c r="P106" s="8">
        <f>(((1-O106)*C106)/1.23)*F106+D106+N106</f>
        <v>136.97914658536587</v>
      </c>
      <c r="Q106" s="36">
        <f>(M106/1.2-P106)/(M106/1.2)</f>
        <v>0.10342910992280353</v>
      </c>
    </row>
    <row r="107" spans="2:17" ht="14.45" customHeight="1" thickBot="1" x14ac:dyDescent="0.3">
      <c r="B107" s="124"/>
      <c r="C107" s="34">
        <v>1999</v>
      </c>
      <c r="D107" s="2">
        <v>11</v>
      </c>
      <c r="E107" s="2">
        <v>0.94</v>
      </c>
      <c r="F107" s="2">
        <v>0.22</v>
      </c>
      <c r="G107" s="2">
        <v>1</v>
      </c>
      <c r="H107" s="2">
        <v>0</v>
      </c>
      <c r="I107" s="2">
        <v>1</v>
      </c>
      <c r="J107" s="2">
        <v>0</v>
      </c>
      <c r="K107" s="6">
        <v>0.18</v>
      </c>
      <c r="L107" s="2">
        <v>39</v>
      </c>
      <c r="M107" s="7">
        <f>(C107+H107)*E107*F107*G107*I107+J107+L107</f>
        <v>452.39319999999998</v>
      </c>
      <c r="N107" s="8">
        <f>((M107/1.2)-L107)*0.18</f>
        <v>60.838979999999992</v>
      </c>
      <c r="O107" s="9">
        <v>0.25</v>
      </c>
      <c r="P107" s="8">
        <f>(((1-O107)*C107)/1.23)*F107+D107+N107</f>
        <v>339.99751658536587</v>
      </c>
      <c r="Q107" s="36">
        <f>(M107/1.2-P107)/(M107/1.2)</f>
        <v>9.8136267515870998E-2</v>
      </c>
    </row>
    <row r="109" spans="2:17" ht="14.45" customHeight="1" thickBot="1" x14ac:dyDescent="0.3"/>
    <row r="110" spans="2:17" ht="14.45" customHeight="1" x14ac:dyDescent="0.3">
      <c r="B110" s="122" t="s">
        <v>23</v>
      </c>
      <c r="C110" s="131" t="s">
        <v>16</v>
      </c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3"/>
    </row>
    <row r="111" spans="2:17" ht="14.45" customHeight="1" x14ac:dyDescent="0.25">
      <c r="B111" s="123"/>
      <c r="C111" s="1" t="s">
        <v>1</v>
      </c>
      <c r="D111" s="2" t="s">
        <v>2</v>
      </c>
      <c r="E111" s="2" t="s">
        <v>3</v>
      </c>
      <c r="F111" s="2" t="s">
        <v>4</v>
      </c>
      <c r="G111" s="2" t="s">
        <v>5</v>
      </c>
      <c r="H111" s="2" t="s">
        <v>6</v>
      </c>
      <c r="I111" s="2" t="s">
        <v>7</v>
      </c>
      <c r="J111" s="2" t="s">
        <v>8</v>
      </c>
      <c r="K111" s="2" t="s">
        <v>9</v>
      </c>
      <c r="L111" s="2" t="s">
        <v>10</v>
      </c>
      <c r="M111" s="2" t="s">
        <v>11</v>
      </c>
      <c r="N111" s="2" t="s">
        <v>12</v>
      </c>
      <c r="O111" s="2" t="s">
        <v>13</v>
      </c>
      <c r="P111" s="2" t="s">
        <v>14</v>
      </c>
      <c r="Q111" s="3" t="s">
        <v>15</v>
      </c>
    </row>
    <row r="112" spans="2:17" ht="14.45" customHeight="1" x14ac:dyDescent="0.25">
      <c r="B112" s="123"/>
      <c r="C112" s="34">
        <v>8.94</v>
      </c>
      <c r="D112" s="2">
        <v>6.4</v>
      </c>
      <c r="E112" s="2">
        <v>1.21</v>
      </c>
      <c r="F112" s="2">
        <v>0.22</v>
      </c>
      <c r="G112" s="2">
        <v>1.23</v>
      </c>
      <c r="H112" s="2">
        <v>35</v>
      </c>
      <c r="I112" s="2">
        <v>1</v>
      </c>
      <c r="J112" s="2">
        <v>0</v>
      </c>
      <c r="K112" s="6">
        <v>0.18</v>
      </c>
      <c r="L112" s="2">
        <v>0</v>
      </c>
      <c r="M112" s="7">
        <f>(C112+H112)*E112*F112*G112*I112+J112+L112</f>
        <v>14.387098439999997</v>
      </c>
      <c r="N112" s="8">
        <f>((M112/1.2)-L112)*0.18</f>
        <v>2.1580647659999994</v>
      </c>
      <c r="O112" s="9">
        <v>0</v>
      </c>
      <c r="P112" s="8">
        <f>(1-O112)*C112*F112+D112+N112</f>
        <v>10.524864765999999</v>
      </c>
      <c r="Q112" s="36">
        <f>(M112/1.2-P112)/(M112/1.2)</f>
        <v>0.12214142609286262</v>
      </c>
    </row>
    <row r="113" spans="2:17" ht="14.45" customHeight="1" x14ac:dyDescent="0.25">
      <c r="B113" s="123"/>
      <c r="C113" s="34">
        <v>28.14</v>
      </c>
      <c r="D113" s="2">
        <v>6.4</v>
      </c>
      <c r="E113" s="2">
        <v>1.37</v>
      </c>
      <c r="F113" s="2">
        <v>0.22</v>
      </c>
      <c r="G113" s="2">
        <v>1.23</v>
      </c>
      <c r="H113" s="2">
        <v>30</v>
      </c>
      <c r="I113" s="2">
        <v>1</v>
      </c>
      <c r="J113" s="2">
        <v>0</v>
      </c>
      <c r="K113" s="6">
        <v>0.18</v>
      </c>
      <c r="L113" s="2">
        <v>0</v>
      </c>
      <c r="M113" s="7">
        <f>(C113+H113)*E113*F113*G113*I113+J113+L113</f>
        <v>21.553777080000003</v>
      </c>
      <c r="N113" s="8">
        <f>((M113/1.2)-L113)*0.18</f>
        <v>3.2330665620000008</v>
      </c>
      <c r="O113" s="9">
        <v>0</v>
      </c>
      <c r="P113" s="8">
        <f>(1-O113)*C113*F113+D113+N113</f>
        <v>15.823866562000003</v>
      </c>
      <c r="Q113" s="36">
        <f>(M113/1.2-P113)/(M113/1.2)</f>
        <v>0.11901102976425522</v>
      </c>
    </row>
    <row r="114" spans="2:17" ht="14.45" customHeight="1" x14ac:dyDescent="0.25">
      <c r="B114" s="123"/>
      <c r="C114" s="34">
        <v>51.6</v>
      </c>
      <c r="D114" s="2">
        <v>6.4</v>
      </c>
      <c r="E114" s="2">
        <v>1.36</v>
      </c>
      <c r="F114" s="2">
        <v>0.22</v>
      </c>
      <c r="G114" s="2">
        <v>1.23</v>
      </c>
      <c r="H114" s="2">
        <v>30</v>
      </c>
      <c r="I114" s="2">
        <v>1</v>
      </c>
      <c r="J114" s="2">
        <v>0</v>
      </c>
      <c r="K114" s="6">
        <v>0.18</v>
      </c>
      <c r="L114" s="2">
        <v>0</v>
      </c>
      <c r="M114" s="7">
        <f>(C114+H114)*E114*F114*G114*I114+J114+L114</f>
        <v>30.030105599999999</v>
      </c>
      <c r="N114" s="8">
        <f>((M114/1.2)-L114)*0.18</f>
        <v>4.5045158399999998</v>
      </c>
      <c r="O114" s="9">
        <v>0</v>
      </c>
      <c r="P114" s="8">
        <f>(1-O114)*C114*F114+D114+N114</f>
        <v>22.256515840000002</v>
      </c>
      <c r="Q114" s="36">
        <f>(M114/1.2-P114)/(M114/1.2)</f>
        <v>0.11063186511072401</v>
      </c>
    </row>
    <row r="115" spans="2:17" ht="14.45" customHeight="1" x14ac:dyDescent="0.25">
      <c r="B115" s="123"/>
      <c r="C115" s="34">
        <v>65.64</v>
      </c>
      <c r="D115" s="2">
        <v>6.4</v>
      </c>
      <c r="E115" s="2">
        <v>1.35</v>
      </c>
      <c r="F115" s="2">
        <v>0.22</v>
      </c>
      <c r="G115" s="2">
        <v>1.23</v>
      </c>
      <c r="H115" s="2">
        <v>30</v>
      </c>
      <c r="I115" s="2">
        <v>1</v>
      </c>
      <c r="J115" s="2">
        <v>0</v>
      </c>
      <c r="K115" s="6">
        <v>0.18</v>
      </c>
      <c r="L115" s="2">
        <v>0</v>
      </c>
      <c r="M115" s="7">
        <f>(C115+H115)*E115*F115*G115*I115+J115+L115</f>
        <v>34.938248399999999</v>
      </c>
      <c r="N115" s="8">
        <f>((M115/1.2)-L115)*0.18</f>
        <v>5.2407372600000004</v>
      </c>
      <c r="O115" s="9">
        <v>0</v>
      </c>
      <c r="P115" s="8">
        <f>(1-O115)*C115*F115+D115+N115</f>
        <v>26.081537260000001</v>
      </c>
      <c r="Q115" s="36">
        <f>(M115/1.2-P115)/(M115/1.2)</f>
        <v>0.10419536910728473</v>
      </c>
    </row>
    <row r="116" spans="2:17" ht="14.45" customHeight="1" x14ac:dyDescent="0.25">
      <c r="B116" s="123"/>
      <c r="C116" s="34">
        <v>139.15</v>
      </c>
      <c r="D116" s="2">
        <v>6.4</v>
      </c>
      <c r="E116" s="2">
        <v>1.34</v>
      </c>
      <c r="F116" s="2">
        <v>0.22</v>
      </c>
      <c r="G116" s="2">
        <v>1.23</v>
      </c>
      <c r="H116" s="2">
        <v>30</v>
      </c>
      <c r="I116" s="2">
        <v>1</v>
      </c>
      <c r="J116" s="2">
        <v>0</v>
      </c>
      <c r="K116" s="6">
        <v>0.18</v>
      </c>
      <c r="L116" s="2">
        <v>0</v>
      </c>
      <c r="M116" s="7">
        <f>(C116+H116)*E116*F116*G116*I116+J116+L116</f>
        <v>61.334466600000006</v>
      </c>
      <c r="N116" s="8">
        <f>((M116/1.2)-L116)*0.18</f>
        <v>9.2001699900000009</v>
      </c>
      <c r="O116" s="9">
        <v>0</v>
      </c>
      <c r="P116" s="8">
        <f>(1-O116)*C116*F116+D116+N116</f>
        <v>46.213169990000004</v>
      </c>
      <c r="Q116" s="36">
        <f>(M116/1.2-P116)/(M116/1.2)</f>
        <v>9.5845989015252944E-2</v>
      </c>
    </row>
    <row r="117" spans="2:17" ht="14.45" customHeight="1" x14ac:dyDescent="0.25">
      <c r="B117" s="123"/>
      <c r="Q117" s="18"/>
    </row>
    <row r="118" spans="2:17" ht="14.45" customHeight="1" x14ac:dyDescent="0.25">
      <c r="B118" s="123"/>
      <c r="Q118" s="18"/>
    </row>
    <row r="119" spans="2:17" ht="14.45" customHeight="1" x14ac:dyDescent="0.3">
      <c r="B119" s="123"/>
      <c r="C119" s="134" t="s">
        <v>17</v>
      </c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6"/>
    </row>
    <row r="120" spans="2:17" ht="14.45" customHeight="1" x14ac:dyDescent="0.25">
      <c r="B120" s="123"/>
      <c r="C120" s="1" t="s">
        <v>1</v>
      </c>
      <c r="D120" s="2" t="s">
        <v>2</v>
      </c>
      <c r="E120" s="2" t="s">
        <v>3</v>
      </c>
      <c r="F120" s="2" t="s">
        <v>4</v>
      </c>
      <c r="G120" s="2" t="s">
        <v>5</v>
      </c>
      <c r="H120" s="2" t="s">
        <v>6</v>
      </c>
      <c r="I120" s="2" t="s">
        <v>7</v>
      </c>
      <c r="J120" s="2" t="s">
        <v>8</v>
      </c>
      <c r="K120" s="2" t="s">
        <v>9</v>
      </c>
      <c r="L120" s="2" t="s">
        <v>10</v>
      </c>
      <c r="M120" s="2" t="s">
        <v>11</v>
      </c>
      <c r="N120" s="2" t="s">
        <v>12</v>
      </c>
      <c r="O120" s="2" t="s">
        <v>13</v>
      </c>
      <c r="P120" s="2" t="s">
        <v>14</v>
      </c>
      <c r="Q120" s="3" t="s">
        <v>15</v>
      </c>
    </row>
    <row r="121" spans="2:17" ht="14.45" customHeight="1" x14ac:dyDescent="0.25">
      <c r="B121" s="123"/>
      <c r="C121" s="34">
        <v>8.94</v>
      </c>
      <c r="D121" s="2">
        <v>4</v>
      </c>
      <c r="E121" s="2">
        <v>0.91</v>
      </c>
      <c r="F121" s="2">
        <v>0.22</v>
      </c>
      <c r="G121" s="2">
        <v>1.23</v>
      </c>
      <c r="H121" s="2">
        <v>20</v>
      </c>
      <c r="I121" s="2">
        <v>1</v>
      </c>
      <c r="J121" s="2">
        <v>0</v>
      </c>
      <c r="K121" s="6">
        <v>0.18</v>
      </c>
      <c r="L121" s="2">
        <v>2.4</v>
      </c>
      <c r="M121" s="7">
        <f>(C121+H121)*E121*F121*G121*I121+J121+L121</f>
        <v>9.5263592399999997</v>
      </c>
      <c r="N121" s="8">
        <f>((M121/1.2)-L121)*0.18</f>
        <v>0.99695388600000012</v>
      </c>
      <c r="O121" s="9">
        <v>0</v>
      </c>
      <c r="P121" s="8">
        <f>(1-O121)*C121*F121+D121+N121</f>
        <v>6.9637538860000001</v>
      </c>
      <c r="Q121" s="36">
        <f>(M121/1.2-P121)/(M121/1.2)</f>
        <v>0.12280185402707952</v>
      </c>
    </row>
    <row r="122" spans="2:17" ht="14.45" customHeight="1" x14ac:dyDescent="0.25">
      <c r="B122" s="123"/>
      <c r="C122" s="34">
        <v>28.14</v>
      </c>
      <c r="D122" s="2">
        <v>4</v>
      </c>
      <c r="E122" s="2">
        <v>1.1000000000000001</v>
      </c>
      <c r="F122" s="2">
        <v>0.22</v>
      </c>
      <c r="G122" s="2">
        <v>1.23</v>
      </c>
      <c r="H122" s="2">
        <v>20</v>
      </c>
      <c r="I122" s="2">
        <v>1</v>
      </c>
      <c r="J122" s="2">
        <v>0</v>
      </c>
      <c r="K122" s="6">
        <v>0.18</v>
      </c>
      <c r="L122" s="2">
        <v>2.4</v>
      </c>
      <c r="M122" s="7">
        <f>(C122+H122)*E122*F122*G122*I122+J122+L122</f>
        <v>16.7293524</v>
      </c>
      <c r="N122" s="8">
        <f>((M122/1.2)-L122)*0.18</f>
        <v>2.0774028599999999</v>
      </c>
      <c r="O122" s="9">
        <v>0</v>
      </c>
      <c r="P122" s="8">
        <f>(1-O122)*C122*F122+D122+N122</f>
        <v>12.268202859999999</v>
      </c>
      <c r="Q122" s="36">
        <f>(M122/1.2-P122)/(M122/1.2)</f>
        <v>0.11999920379464307</v>
      </c>
    </row>
    <row r="123" spans="2:17" ht="14.45" customHeight="1" x14ac:dyDescent="0.25">
      <c r="B123" s="123"/>
      <c r="C123" s="34">
        <v>51.6</v>
      </c>
      <c r="D123" s="2">
        <v>4</v>
      </c>
      <c r="E123" s="2">
        <v>1.19</v>
      </c>
      <c r="F123" s="2">
        <v>0.22</v>
      </c>
      <c r="G123" s="2">
        <v>1.23</v>
      </c>
      <c r="H123" s="2">
        <v>20</v>
      </c>
      <c r="I123" s="2">
        <v>1</v>
      </c>
      <c r="J123" s="2">
        <v>0</v>
      </c>
      <c r="K123" s="6">
        <v>0.18</v>
      </c>
      <c r="L123" s="2">
        <v>2.4</v>
      </c>
      <c r="M123" s="7">
        <f>(C123+H123)*E123*F123*G123*I123+J123+L123</f>
        <v>25.456202399999995</v>
      </c>
      <c r="N123" s="8">
        <f>((M123/1.2)-L123)*0.18</f>
        <v>3.3864303599999999</v>
      </c>
      <c r="O123" s="9">
        <v>0</v>
      </c>
      <c r="P123" s="8">
        <f>(1-O123)*C123*F123+D123+N123</f>
        <v>18.738430359999999</v>
      </c>
      <c r="Q123" s="36">
        <f>(M123/1.2-P123)/(M123/1.2)</f>
        <v>0.11667435390912824</v>
      </c>
    </row>
    <row r="124" spans="2:17" ht="14.45" customHeight="1" x14ac:dyDescent="0.25">
      <c r="B124" s="123"/>
      <c r="C124" s="34">
        <v>65.64</v>
      </c>
      <c r="D124" s="2">
        <v>4</v>
      </c>
      <c r="E124" s="2">
        <v>1.21</v>
      </c>
      <c r="F124" s="2">
        <v>0.22</v>
      </c>
      <c r="G124" s="2">
        <v>1.23</v>
      </c>
      <c r="H124" s="2">
        <v>20</v>
      </c>
      <c r="I124" s="2">
        <v>1</v>
      </c>
      <c r="J124" s="2">
        <v>0</v>
      </c>
      <c r="K124" s="6">
        <v>0.18</v>
      </c>
      <c r="L124" s="2">
        <v>2.4</v>
      </c>
      <c r="M124" s="7">
        <f>(C124+H124)*E124*F124*G124*I124+J124+L124</f>
        <v>30.440762639999996</v>
      </c>
      <c r="N124" s="8">
        <f>((M124/1.2)-L124)*0.18</f>
        <v>4.1341143959999993</v>
      </c>
      <c r="O124" s="9">
        <v>0</v>
      </c>
      <c r="P124" s="8">
        <f>(1-O124)*C124*F124+D124+N124</f>
        <v>22.574914395999997</v>
      </c>
      <c r="Q124" s="36">
        <f>(M124/1.2-P124)/(M124/1.2)</f>
        <v>0.1100782330728098</v>
      </c>
    </row>
    <row r="125" spans="2:17" ht="14.45" customHeight="1" thickBot="1" x14ac:dyDescent="0.3">
      <c r="B125" s="124"/>
      <c r="C125" s="34">
        <v>139.15</v>
      </c>
      <c r="D125" s="2">
        <v>4</v>
      </c>
      <c r="E125" s="2">
        <v>1.28</v>
      </c>
      <c r="F125" s="2">
        <v>0.22</v>
      </c>
      <c r="G125" s="2">
        <v>1.23</v>
      </c>
      <c r="H125" s="2">
        <v>20</v>
      </c>
      <c r="I125" s="2">
        <v>1</v>
      </c>
      <c r="J125" s="2">
        <v>0</v>
      </c>
      <c r="K125" s="6">
        <v>0.18</v>
      </c>
      <c r="L125" s="2">
        <v>2.4</v>
      </c>
      <c r="M125" s="7">
        <f>(C125+H125)*E125*F125*G125*I125+J125+L125</f>
        <v>57.524467200000004</v>
      </c>
      <c r="N125" s="8">
        <f>((M125/1.2)-L125)*0.18</f>
        <v>8.1966700800000005</v>
      </c>
      <c r="O125" s="9">
        <v>0</v>
      </c>
      <c r="P125" s="8">
        <f>(1-O125)*C125*F125+D125+N125</f>
        <v>42.809670080000004</v>
      </c>
      <c r="Q125" s="36">
        <f>(M125/1.2-P125)/(M125/1.2)</f>
        <v>0.10696080126405763</v>
      </c>
    </row>
    <row r="127" spans="2:17" ht="14.45" customHeight="1" thickBot="1" x14ac:dyDescent="0.3"/>
    <row r="128" spans="2:17" ht="14.45" customHeight="1" x14ac:dyDescent="0.3">
      <c r="B128" s="122" t="s">
        <v>24</v>
      </c>
      <c r="C128" s="131" t="s">
        <v>16</v>
      </c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3"/>
    </row>
    <row r="129" spans="2:18" ht="14.45" customHeight="1" x14ac:dyDescent="0.25">
      <c r="B129" s="123"/>
      <c r="C129" s="1" t="s">
        <v>1</v>
      </c>
      <c r="D129" s="2" t="s">
        <v>2</v>
      </c>
      <c r="E129" s="2" t="s">
        <v>3</v>
      </c>
      <c r="F129" s="2" t="s">
        <v>4</v>
      </c>
      <c r="G129" s="2" t="s">
        <v>5</v>
      </c>
      <c r="H129" s="2" t="s">
        <v>6</v>
      </c>
      <c r="I129" s="2" t="s">
        <v>7</v>
      </c>
      <c r="J129" s="2" t="s">
        <v>8</v>
      </c>
      <c r="K129" s="2" t="s">
        <v>9</v>
      </c>
      <c r="L129" s="2" t="s">
        <v>10</v>
      </c>
      <c r="M129" s="2" t="s">
        <v>11</v>
      </c>
      <c r="N129" s="2" t="s">
        <v>12</v>
      </c>
      <c r="O129" s="2" t="s">
        <v>13</v>
      </c>
      <c r="P129" s="2" t="s">
        <v>14</v>
      </c>
      <c r="Q129" s="3" t="s">
        <v>15</v>
      </c>
    </row>
    <row r="130" spans="2:18" ht="14.45" customHeight="1" x14ac:dyDescent="0.25">
      <c r="B130" s="123"/>
      <c r="C130" s="34">
        <v>20</v>
      </c>
      <c r="D130" s="2">
        <v>6.4</v>
      </c>
      <c r="E130" s="2">
        <v>1.37</v>
      </c>
      <c r="F130" s="2">
        <v>0.22</v>
      </c>
      <c r="G130" s="2">
        <v>1.23</v>
      </c>
      <c r="H130" s="2">
        <v>15</v>
      </c>
      <c r="I130" s="2">
        <v>1</v>
      </c>
      <c r="J130" s="2">
        <v>0</v>
      </c>
      <c r="K130" s="6">
        <v>0.18</v>
      </c>
      <c r="L130" s="2">
        <v>0</v>
      </c>
      <c r="M130" s="7">
        <f>(C130+H130)*E130*F130*G130*I130+J130+L130</f>
        <v>12.975270000000002</v>
      </c>
      <c r="N130" s="8">
        <f>((M130/1.2)-L130)*0.18</f>
        <v>1.9462905000000004</v>
      </c>
      <c r="O130" s="9">
        <v>0</v>
      </c>
      <c r="P130" s="8">
        <f>(1-O130)*C130*F130+D130+N130</f>
        <v>12.746290500000001</v>
      </c>
      <c r="Q130" s="36">
        <f>(M130/1.2-P130)/(M130/1.2)</f>
        <v>-0.17882314587673304</v>
      </c>
      <c r="R130" s="25"/>
    </row>
    <row r="131" spans="2:18" ht="14.45" customHeight="1" x14ac:dyDescent="0.25">
      <c r="B131" s="123"/>
      <c r="C131" s="34">
        <v>35</v>
      </c>
      <c r="D131" s="2">
        <v>6.4</v>
      </c>
      <c r="E131" s="2">
        <v>1.35</v>
      </c>
      <c r="F131" s="2">
        <v>0.22</v>
      </c>
      <c r="G131" s="2">
        <v>1.23</v>
      </c>
      <c r="H131" s="2">
        <v>15</v>
      </c>
      <c r="I131" s="2">
        <v>1</v>
      </c>
      <c r="J131" s="2">
        <v>0</v>
      </c>
      <c r="K131" s="6">
        <v>0.18</v>
      </c>
      <c r="L131" s="2">
        <v>0</v>
      </c>
      <c r="M131" s="7">
        <f>(C131+H131)*E131*F131*G131*I131+J131+L131</f>
        <v>18.265499999999999</v>
      </c>
      <c r="N131" s="8">
        <f>((M131/1.2)-L131)*0.18</f>
        <v>2.7398249999999997</v>
      </c>
      <c r="O131" s="9">
        <v>0</v>
      </c>
      <c r="P131" s="8">
        <f>(1-O131)*C131*F131+D131+N131</f>
        <v>16.839825000000001</v>
      </c>
      <c r="Q131" s="36">
        <f>(M131/1.2-P131)/(M131/1.2)</f>
        <v>-0.10633653609263377</v>
      </c>
      <c r="R131" s="25"/>
    </row>
    <row r="132" spans="2:18" ht="14.45" customHeight="1" x14ac:dyDescent="0.25">
      <c r="B132" s="123"/>
      <c r="C132" s="34">
        <v>70</v>
      </c>
      <c r="D132" s="2">
        <v>6.4</v>
      </c>
      <c r="E132" s="2">
        <v>1.36</v>
      </c>
      <c r="F132" s="2">
        <v>0.22</v>
      </c>
      <c r="G132" s="2">
        <v>1.23</v>
      </c>
      <c r="H132" s="2">
        <v>15</v>
      </c>
      <c r="I132" s="2">
        <v>1</v>
      </c>
      <c r="J132" s="2">
        <v>0</v>
      </c>
      <c r="K132" s="6">
        <v>0.18</v>
      </c>
      <c r="L132" s="2">
        <v>0</v>
      </c>
      <c r="M132" s="7">
        <f>(C132+H132)*E132*F132*G132*I132+J132+L132</f>
        <v>31.281360000000003</v>
      </c>
      <c r="N132" s="8">
        <f>((M132/1.2)-L132)*0.18</f>
        <v>4.6922040000000003</v>
      </c>
      <c r="O132" s="9">
        <v>0</v>
      </c>
      <c r="P132" s="8">
        <f>(1-O132)*C132*F132+D132+N132</f>
        <v>26.492204000000001</v>
      </c>
      <c r="Q132" s="36">
        <f>(M132/1.2-P132)/(M132/1.2)</f>
        <v>-1.6280775516153995E-2</v>
      </c>
      <c r="R132" s="25"/>
    </row>
    <row r="133" spans="2:18" ht="14.45" customHeight="1" x14ac:dyDescent="0.25">
      <c r="B133" s="123"/>
      <c r="C133" s="34">
        <v>130</v>
      </c>
      <c r="D133" s="2">
        <v>6.4</v>
      </c>
      <c r="E133" s="2">
        <v>1.35</v>
      </c>
      <c r="F133" s="2">
        <v>0.22</v>
      </c>
      <c r="G133" s="2">
        <v>1.23</v>
      </c>
      <c r="H133" s="2">
        <v>15</v>
      </c>
      <c r="I133" s="2">
        <v>1</v>
      </c>
      <c r="J133" s="2">
        <v>0</v>
      </c>
      <c r="K133" s="6">
        <v>0.18</v>
      </c>
      <c r="L133" s="2">
        <v>0</v>
      </c>
      <c r="M133" s="7">
        <f>(C133+H133)*E133*F133*G133*I133+J133+L133</f>
        <v>52.969949999999997</v>
      </c>
      <c r="N133" s="8">
        <f>((M133/1.2)-L133)*0.18</f>
        <v>7.9454924999999994</v>
      </c>
      <c r="O133" s="9">
        <v>0</v>
      </c>
      <c r="P133" s="8">
        <f>(1-O133)*C133*F133+D133+N133</f>
        <v>42.9454925</v>
      </c>
      <c r="Q133" s="36">
        <f>(M133/1.2-P133)/(M133/1.2)</f>
        <v>2.7097609116112E-2</v>
      </c>
      <c r="R133" s="25"/>
    </row>
    <row r="134" spans="2:18" ht="14.45" customHeight="1" x14ac:dyDescent="0.25">
      <c r="B134" s="123"/>
      <c r="C134" s="34">
        <v>140</v>
      </c>
      <c r="D134" s="2">
        <v>6.4</v>
      </c>
      <c r="E134" s="2">
        <v>1.34</v>
      </c>
      <c r="F134" s="2">
        <v>0.22</v>
      </c>
      <c r="G134" s="2">
        <v>1.23</v>
      </c>
      <c r="H134" s="2">
        <v>15</v>
      </c>
      <c r="I134" s="2">
        <v>1</v>
      </c>
      <c r="J134" s="2">
        <v>0</v>
      </c>
      <c r="K134" s="6">
        <v>0.18</v>
      </c>
      <c r="L134" s="2">
        <v>0</v>
      </c>
      <c r="M134" s="7">
        <f>(C134+H134)*E134*F134*G134*I134+J134+L134</f>
        <v>56.203620000000001</v>
      </c>
      <c r="N134" s="8">
        <f>((M134/1.2)-L134)*0.18</f>
        <v>8.4305430000000001</v>
      </c>
      <c r="O134" s="9">
        <v>0</v>
      </c>
      <c r="P134" s="8">
        <f>(1-O134)*C134*F134+D134+N134</f>
        <v>45.630543000000003</v>
      </c>
      <c r="Q134" s="36">
        <f>(M134/1.2-P134)/(M134/1.2)</f>
        <v>2.5745110368335704E-2</v>
      </c>
      <c r="R134" s="25"/>
    </row>
    <row r="135" spans="2:18" ht="14.45" customHeight="1" x14ac:dyDescent="0.25">
      <c r="B135" s="123"/>
      <c r="Q135" s="18"/>
    </row>
    <row r="136" spans="2:18" ht="14.45" customHeight="1" x14ac:dyDescent="0.25">
      <c r="B136" s="123"/>
      <c r="Q136" s="18"/>
    </row>
    <row r="137" spans="2:18" ht="14.45" customHeight="1" x14ac:dyDescent="0.3">
      <c r="B137" s="123"/>
      <c r="C137" s="134" t="s">
        <v>17</v>
      </c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6"/>
    </row>
    <row r="138" spans="2:18" ht="14.45" customHeight="1" x14ac:dyDescent="0.25">
      <c r="B138" s="123"/>
      <c r="C138" s="1" t="s">
        <v>1</v>
      </c>
      <c r="D138" s="2" t="s">
        <v>2</v>
      </c>
      <c r="E138" s="2" t="s">
        <v>3</v>
      </c>
      <c r="F138" s="2" t="s">
        <v>4</v>
      </c>
      <c r="G138" s="2" t="s">
        <v>5</v>
      </c>
      <c r="H138" s="2" t="s">
        <v>6</v>
      </c>
      <c r="I138" s="2" t="s">
        <v>7</v>
      </c>
      <c r="J138" s="2" t="s">
        <v>8</v>
      </c>
      <c r="K138" s="2" t="s">
        <v>9</v>
      </c>
      <c r="L138" s="2" t="s">
        <v>10</v>
      </c>
      <c r="M138" s="2" t="s">
        <v>11</v>
      </c>
      <c r="N138" s="2" t="s">
        <v>12</v>
      </c>
      <c r="O138" s="2" t="s">
        <v>13</v>
      </c>
      <c r="P138" s="2" t="s">
        <v>14</v>
      </c>
      <c r="Q138" s="3" t="s">
        <v>15</v>
      </c>
    </row>
    <row r="139" spans="2:18" ht="14.45" customHeight="1" x14ac:dyDescent="0.25">
      <c r="B139" s="123"/>
      <c r="C139" s="34">
        <v>20</v>
      </c>
      <c r="D139" s="2">
        <v>4</v>
      </c>
      <c r="E139" s="2">
        <v>1.034</v>
      </c>
      <c r="F139" s="2">
        <v>0.22</v>
      </c>
      <c r="G139" s="2">
        <v>1.23</v>
      </c>
      <c r="H139" s="2">
        <v>10</v>
      </c>
      <c r="I139" s="2">
        <v>1</v>
      </c>
      <c r="J139" s="2">
        <v>0</v>
      </c>
      <c r="K139" s="6">
        <v>0.18</v>
      </c>
      <c r="L139" s="2">
        <v>2.4</v>
      </c>
      <c r="M139" s="7">
        <f>(C139+H139)*E139*F139*G139*I139+J139+L139</f>
        <v>10.794012</v>
      </c>
      <c r="N139" s="8">
        <f>((M139/1.2)-L139)*0.18</f>
        <v>1.1871018</v>
      </c>
      <c r="O139" s="9">
        <v>0</v>
      </c>
      <c r="P139" s="8">
        <f>(1-O139)*C139*F139+D139+N139</f>
        <v>9.587101800000001</v>
      </c>
      <c r="Q139" s="36">
        <f>(M139/1.2-P139)/(M139/1.2)</f>
        <v>-6.5824473791580032E-2</v>
      </c>
    </row>
    <row r="140" spans="2:18" ht="14.45" customHeight="1" x14ac:dyDescent="0.25">
      <c r="B140" s="123"/>
      <c r="C140" s="34">
        <v>35</v>
      </c>
      <c r="D140" s="2">
        <v>4</v>
      </c>
      <c r="E140" s="2">
        <v>1.1200000000000001</v>
      </c>
      <c r="F140" s="2">
        <v>0.22</v>
      </c>
      <c r="G140" s="2">
        <v>1.23</v>
      </c>
      <c r="H140" s="2">
        <v>10</v>
      </c>
      <c r="I140" s="2">
        <v>1</v>
      </c>
      <c r="J140" s="2">
        <v>0</v>
      </c>
      <c r="K140" s="6">
        <v>0.18</v>
      </c>
      <c r="L140" s="2">
        <v>2.4</v>
      </c>
      <c r="M140" s="7">
        <f>(C140+H140)*E140*F140*G140*I140+J140+L140</f>
        <v>16.038240000000002</v>
      </c>
      <c r="N140" s="8">
        <f>((M140/1.2)-L140)*0.18</f>
        <v>1.9737360000000002</v>
      </c>
      <c r="O140" s="9">
        <v>0</v>
      </c>
      <c r="P140" s="8">
        <f>(1-O140)*C140*F140+D140+N140</f>
        <v>13.673736</v>
      </c>
      <c r="Q140" s="36">
        <f>(M140/1.2-P140)/(M140/1.2)</f>
        <v>-2.3085026785981379E-2</v>
      </c>
    </row>
    <row r="141" spans="2:18" ht="14.45" customHeight="1" x14ac:dyDescent="0.25">
      <c r="B141" s="123"/>
      <c r="C141" s="34">
        <v>70</v>
      </c>
      <c r="D141" s="2">
        <v>4</v>
      </c>
      <c r="E141" s="2">
        <v>1.216</v>
      </c>
      <c r="F141" s="2">
        <v>0.22</v>
      </c>
      <c r="G141" s="2">
        <v>1.23</v>
      </c>
      <c r="H141" s="2">
        <v>10</v>
      </c>
      <c r="I141" s="2">
        <v>1</v>
      </c>
      <c r="J141" s="2">
        <v>0</v>
      </c>
      <c r="K141" s="6">
        <v>0.18</v>
      </c>
      <c r="L141" s="2">
        <v>2.4</v>
      </c>
      <c r="M141" s="7">
        <f>(C141+H141)*E141*F141*G141*I141+J141+L141</f>
        <v>28.723967999999999</v>
      </c>
      <c r="N141" s="8">
        <f>((M141/1.2)-L141)*0.18</f>
        <v>3.8765952000000001</v>
      </c>
      <c r="O141" s="9">
        <v>0</v>
      </c>
      <c r="P141" s="8">
        <f>(1-O141)*C141*F141+D141+N141</f>
        <v>23.276595199999999</v>
      </c>
      <c r="Q141" s="36">
        <f>(M141/1.2-P141)/(M141/1.2)</f>
        <v>2.7574663779043398E-2</v>
      </c>
    </row>
    <row r="142" spans="2:18" ht="14.45" customHeight="1" x14ac:dyDescent="0.25">
      <c r="B142" s="123"/>
      <c r="C142" s="34">
        <v>130</v>
      </c>
      <c r="D142" s="2">
        <v>4</v>
      </c>
      <c r="E142" s="2">
        <v>1.27</v>
      </c>
      <c r="F142" s="2">
        <v>0.22</v>
      </c>
      <c r="G142" s="2">
        <v>1.23</v>
      </c>
      <c r="H142" s="2">
        <v>10</v>
      </c>
      <c r="I142" s="2">
        <v>1</v>
      </c>
      <c r="J142" s="2">
        <v>0</v>
      </c>
      <c r="K142" s="6">
        <v>0.18</v>
      </c>
      <c r="L142" s="2">
        <v>2.4</v>
      </c>
      <c r="M142" s="7">
        <f>(C142+H142)*E142*F142*G142*I142+J142+L142</f>
        <v>50.512679999999996</v>
      </c>
      <c r="N142" s="8">
        <f>((M142/1.2)-L142)*0.18</f>
        <v>7.1449019999999992</v>
      </c>
      <c r="O142" s="9">
        <v>0</v>
      </c>
      <c r="P142" s="8">
        <f>(1-O142)*C142*F142+D142+N142</f>
        <v>39.744902000000003</v>
      </c>
      <c r="Q142" s="36">
        <f>(M142/1.2-P142)/(M142/1.2)</f>
        <v>5.5803762540415469E-2</v>
      </c>
    </row>
    <row r="143" spans="2:18" ht="14.45" customHeight="1" thickBot="1" x14ac:dyDescent="0.3">
      <c r="B143" s="124"/>
      <c r="C143" s="34">
        <v>140</v>
      </c>
      <c r="D143" s="2">
        <v>4</v>
      </c>
      <c r="E143" s="2">
        <v>1.27</v>
      </c>
      <c r="F143" s="2">
        <v>0.22</v>
      </c>
      <c r="G143" s="2">
        <v>1.23</v>
      </c>
      <c r="H143" s="2">
        <v>10</v>
      </c>
      <c r="I143" s="2">
        <v>1</v>
      </c>
      <c r="J143" s="2">
        <v>0</v>
      </c>
      <c r="K143" s="6">
        <v>0.18</v>
      </c>
      <c r="L143" s="2">
        <v>2.4</v>
      </c>
      <c r="M143" s="7">
        <f>(C143+H143)*E143*F143*G143*I143+J143+L143</f>
        <v>53.949300000000001</v>
      </c>
      <c r="N143" s="8">
        <f>((M143/1.2)-L143)*0.18</f>
        <v>7.6603950000000012</v>
      </c>
      <c r="O143" s="9">
        <v>0</v>
      </c>
      <c r="P143" s="8">
        <f>(1-O143)*C143*F143+D143+N143</f>
        <v>42.460394999999998</v>
      </c>
      <c r="Q143" s="36">
        <f>(M143/1.2-P143)/(M143/1.2)</f>
        <v>5.5548932052871994E-2</v>
      </c>
    </row>
    <row r="145" spans="2:17" ht="14.45" customHeight="1" thickBot="1" x14ac:dyDescent="0.3"/>
    <row r="146" spans="2:17" ht="14.45" customHeight="1" x14ac:dyDescent="0.3">
      <c r="B146" s="122" t="s">
        <v>25</v>
      </c>
      <c r="C146" s="131" t="s">
        <v>16</v>
      </c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3"/>
    </row>
    <row r="147" spans="2:17" ht="14.45" customHeight="1" x14ac:dyDescent="0.25">
      <c r="B147" s="123"/>
      <c r="C147" s="1" t="s">
        <v>19</v>
      </c>
      <c r="D147" s="2" t="s">
        <v>2</v>
      </c>
      <c r="E147" s="2" t="s">
        <v>3</v>
      </c>
      <c r="F147" s="2" t="s">
        <v>4</v>
      </c>
      <c r="G147" s="2" t="s">
        <v>5</v>
      </c>
      <c r="H147" s="2" t="s">
        <v>6</v>
      </c>
      <c r="I147" s="2" t="s">
        <v>7</v>
      </c>
      <c r="J147" s="2" t="s">
        <v>8</v>
      </c>
      <c r="K147" s="2" t="s">
        <v>9</v>
      </c>
      <c r="L147" s="2" t="s">
        <v>10</v>
      </c>
      <c r="M147" s="2" t="s">
        <v>11</v>
      </c>
      <c r="N147" s="2" t="s">
        <v>12</v>
      </c>
      <c r="O147" s="2" t="s">
        <v>13</v>
      </c>
      <c r="P147" s="2" t="s">
        <v>14</v>
      </c>
      <c r="Q147" s="3" t="s">
        <v>15</v>
      </c>
    </row>
    <row r="148" spans="2:17" ht="14.45" customHeight="1" x14ac:dyDescent="0.25">
      <c r="B148" s="123"/>
      <c r="C148" s="34">
        <v>36</v>
      </c>
      <c r="D148" s="2">
        <v>6.4</v>
      </c>
      <c r="E148" s="2">
        <v>1.33</v>
      </c>
      <c r="F148" s="2">
        <v>0.22</v>
      </c>
      <c r="G148" s="2">
        <v>1</v>
      </c>
      <c r="H148" s="2">
        <v>30</v>
      </c>
      <c r="I148" s="2">
        <v>1</v>
      </c>
      <c r="J148" s="2">
        <v>0</v>
      </c>
      <c r="K148" s="6">
        <v>0.18</v>
      </c>
      <c r="L148" s="2">
        <v>0</v>
      </c>
      <c r="M148" s="7">
        <f>(C148+H148)*E148*F148*G148*I148+J148+L148</f>
        <v>19.311600000000002</v>
      </c>
      <c r="N148" s="8">
        <f>((M148/1.2)-L148)*0.18</f>
        <v>2.8967400000000003</v>
      </c>
      <c r="O148" s="9">
        <v>0.25</v>
      </c>
      <c r="P148" s="8">
        <f>(((1-O148)*C148)/1.23)*F148+D148+N148</f>
        <v>14.126008292682929</v>
      </c>
      <c r="Q148" s="36">
        <f>(M148/1.2-P148)/(M148/1.2)</f>
        <v>0.12222653994389325</v>
      </c>
    </row>
    <row r="149" spans="2:17" ht="14.45" customHeight="1" x14ac:dyDescent="0.25">
      <c r="B149" s="123"/>
      <c r="C149" s="34">
        <v>179</v>
      </c>
      <c r="D149" s="2">
        <v>6.4</v>
      </c>
      <c r="E149" s="2">
        <v>1.1299999999999999</v>
      </c>
      <c r="F149" s="2">
        <v>0.22</v>
      </c>
      <c r="G149" s="2">
        <v>1</v>
      </c>
      <c r="H149" s="2">
        <v>30</v>
      </c>
      <c r="I149" s="2">
        <v>1</v>
      </c>
      <c r="J149" s="2">
        <v>0</v>
      </c>
      <c r="K149" s="6">
        <v>0.18</v>
      </c>
      <c r="L149" s="2">
        <v>0</v>
      </c>
      <c r="M149" s="7">
        <f>(C149+H149)*E149*F149*G149*I149+J149+L149</f>
        <v>51.9574</v>
      </c>
      <c r="N149" s="8">
        <f>((M149/1.2)-L149)*0.18</f>
        <v>7.7936100000000001</v>
      </c>
      <c r="O149" s="9">
        <v>0.25</v>
      </c>
      <c r="P149" s="8">
        <f>(((1-O149)*C149)/1.23)*F149+D149+N149</f>
        <v>38.205805121951222</v>
      </c>
      <c r="Q149" s="36">
        <f>(M149/1.2-P149)/(M149/1.2)</f>
        <v>0.11760468871919182</v>
      </c>
    </row>
    <row r="150" spans="2:17" ht="14.45" customHeight="1" x14ac:dyDescent="0.25">
      <c r="B150" s="123"/>
      <c r="C150" s="34">
        <v>269</v>
      </c>
      <c r="D150" s="2">
        <v>11</v>
      </c>
      <c r="E150" s="2">
        <v>1.1000000000000001</v>
      </c>
      <c r="F150" s="2">
        <v>0.22</v>
      </c>
      <c r="G150" s="2">
        <v>1</v>
      </c>
      <c r="H150" s="2">
        <v>28</v>
      </c>
      <c r="I150" s="2">
        <v>1</v>
      </c>
      <c r="J150" s="2">
        <v>0</v>
      </c>
      <c r="K150" s="6">
        <v>0.18</v>
      </c>
      <c r="L150" s="2">
        <v>6</v>
      </c>
      <c r="M150" s="7">
        <f>(C150+H150)*E150*F150*G150*I150+J150+L150</f>
        <v>77.874000000000009</v>
      </c>
      <c r="N150" s="8">
        <f>((M150/1.2)-L150)*0.18</f>
        <v>10.601100000000001</v>
      </c>
      <c r="O150" s="9">
        <v>0.25</v>
      </c>
      <c r="P150" s="8">
        <f>(((1-O150)*C150)/1.23)*F150+D150+N150</f>
        <v>57.68646585365854</v>
      </c>
      <c r="Q150" s="36">
        <f>(M150/1.2-P150)/(M150/1.2)</f>
        <v>0.11107996219033006</v>
      </c>
    </row>
    <row r="151" spans="2:17" ht="14.45" customHeight="1" x14ac:dyDescent="0.25">
      <c r="B151" s="123"/>
      <c r="C151" s="34">
        <v>769</v>
      </c>
      <c r="D151" s="2">
        <v>11</v>
      </c>
      <c r="E151" s="2">
        <v>1.05</v>
      </c>
      <c r="F151" s="2">
        <v>0.22</v>
      </c>
      <c r="G151" s="2">
        <v>1</v>
      </c>
      <c r="H151" s="2">
        <v>28</v>
      </c>
      <c r="I151" s="2">
        <v>1</v>
      </c>
      <c r="J151" s="2">
        <v>0</v>
      </c>
      <c r="K151" s="6">
        <v>0.18</v>
      </c>
      <c r="L151" s="2">
        <v>6</v>
      </c>
      <c r="M151" s="7">
        <f>(C151+H151)*E151*F151*G151*I151+J151+L151</f>
        <v>190.107</v>
      </c>
      <c r="N151" s="8">
        <f>((M151/1.2)-L151)*0.18</f>
        <v>27.436050000000002</v>
      </c>
      <c r="O151" s="9">
        <v>0.25</v>
      </c>
      <c r="P151" s="8">
        <f>(((1-O151)*C151)/1.23)*F151+D151+N151</f>
        <v>141.59458658536587</v>
      </c>
      <c r="Q151" s="36">
        <f>(M151/1.2-P151)/(M151/1.2)</f>
        <v>0.10622173879741917</v>
      </c>
    </row>
    <row r="152" spans="2:17" ht="14.45" customHeight="1" x14ac:dyDescent="0.25">
      <c r="B152" s="123"/>
      <c r="C152" s="34">
        <v>1999</v>
      </c>
      <c r="D152" s="2">
        <v>11</v>
      </c>
      <c r="E152" s="2">
        <v>1.02</v>
      </c>
      <c r="F152" s="2">
        <v>0.22</v>
      </c>
      <c r="G152" s="2">
        <v>1</v>
      </c>
      <c r="H152" s="2">
        <v>28</v>
      </c>
      <c r="I152" s="2">
        <v>1</v>
      </c>
      <c r="J152" s="2">
        <v>0</v>
      </c>
      <c r="K152" s="6">
        <v>0.18</v>
      </c>
      <c r="L152" s="2">
        <v>8</v>
      </c>
      <c r="M152" s="7">
        <f>(C152+H152)*E152*F152*G152*I152+J152+L152</f>
        <v>462.85879999999997</v>
      </c>
      <c r="N152" s="8">
        <f>((M152/1.2)-L152)*0.18</f>
        <v>67.988820000000004</v>
      </c>
      <c r="O152" s="9">
        <v>0.25</v>
      </c>
      <c r="P152" s="8">
        <f>(((1-O152)*C152)/1.23)*F152+D152+N152</f>
        <v>347.14735658536586</v>
      </c>
      <c r="Q152" s="36">
        <f>(M152/1.2-P152)/(M152/1.2)</f>
        <v>9.9991557031131245E-2</v>
      </c>
    </row>
    <row r="153" spans="2:17" ht="14.45" customHeight="1" x14ac:dyDescent="0.25">
      <c r="B153" s="123"/>
      <c r="Q153" s="18"/>
    </row>
    <row r="154" spans="2:17" ht="14.45" customHeight="1" x14ac:dyDescent="0.25">
      <c r="B154" s="123"/>
      <c r="Q154" s="18"/>
    </row>
    <row r="155" spans="2:17" ht="14.45" customHeight="1" x14ac:dyDescent="0.3">
      <c r="B155" s="123"/>
      <c r="C155" s="134" t="s">
        <v>17</v>
      </c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6"/>
    </row>
    <row r="156" spans="2:17" ht="14.45" customHeight="1" x14ac:dyDescent="0.25">
      <c r="B156" s="123"/>
      <c r="C156" s="1" t="s">
        <v>19</v>
      </c>
      <c r="D156" s="2" t="s">
        <v>2</v>
      </c>
      <c r="E156" s="2" t="s">
        <v>3</v>
      </c>
      <c r="F156" s="2" t="s">
        <v>4</v>
      </c>
      <c r="G156" s="2" t="s">
        <v>5</v>
      </c>
      <c r="H156" s="2" t="s">
        <v>6</v>
      </c>
      <c r="I156" s="2" t="s">
        <v>7</v>
      </c>
      <c r="J156" s="2" t="s">
        <v>8</v>
      </c>
      <c r="K156" s="2" t="s">
        <v>9</v>
      </c>
      <c r="L156" s="2" t="s">
        <v>10</v>
      </c>
      <c r="M156" s="2" t="s">
        <v>11</v>
      </c>
      <c r="N156" s="2" t="s">
        <v>12</v>
      </c>
      <c r="O156" s="2" t="s">
        <v>13</v>
      </c>
      <c r="P156" s="2" t="s">
        <v>14</v>
      </c>
      <c r="Q156" s="3" t="s">
        <v>15</v>
      </c>
    </row>
    <row r="157" spans="2:17" ht="14.45" customHeight="1" x14ac:dyDescent="0.25">
      <c r="B157" s="123"/>
      <c r="C157" s="34">
        <v>36</v>
      </c>
      <c r="D157" s="2">
        <v>4</v>
      </c>
      <c r="E157" s="2">
        <v>0.98</v>
      </c>
      <c r="F157" s="2">
        <v>0.22</v>
      </c>
      <c r="G157" s="2">
        <v>1</v>
      </c>
      <c r="H157" s="2">
        <v>20</v>
      </c>
      <c r="I157" s="2">
        <v>1</v>
      </c>
      <c r="J157" s="2">
        <v>0</v>
      </c>
      <c r="K157" s="6">
        <v>0.18</v>
      </c>
      <c r="L157" s="2">
        <v>2.4</v>
      </c>
      <c r="M157" s="7">
        <f>(C157+H157)*E157*F157*G157*I157+J157+L157</f>
        <v>14.473599999999999</v>
      </c>
      <c r="N157" s="8">
        <f>((M157/1.2)-L157)*0.18</f>
        <v>1.7390399999999999</v>
      </c>
      <c r="O157" s="9">
        <v>0.25</v>
      </c>
      <c r="P157" s="8">
        <f>(((1-O157)*C157)/1.23)*F157+D157+N157</f>
        <v>10.568308292682927</v>
      </c>
      <c r="Q157" s="36">
        <f>(M157/1.2-P157)/(M157/1.2)</f>
        <v>0.12378606903468993</v>
      </c>
    </row>
    <row r="158" spans="2:17" ht="14.45" customHeight="1" x14ac:dyDescent="0.25">
      <c r="B158" s="123"/>
      <c r="C158" s="34">
        <v>179</v>
      </c>
      <c r="D158" s="2">
        <v>4</v>
      </c>
      <c r="E158" s="2">
        <v>1.02</v>
      </c>
      <c r="F158" s="2">
        <v>0.22</v>
      </c>
      <c r="G158" s="2">
        <v>1</v>
      </c>
      <c r="H158" s="2">
        <v>20</v>
      </c>
      <c r="I158" s="2">
        <v>1</v>
      </c>
      <c r="J158" s="2">
        <v>0</v>
      </c>
      <c r="K158" s="6">
        <v>0.18</v>
      </c>
      <c r="L158" s="2">
        <v>2.4</v>
      </c>
      <c r="M158" s="7">
        <f>(C158+H158)*E158*F158*G158*I158+J158+L158</f>
        <v>47.055599999999998</v>
      </c>
      <c r="N158" s="8">
        <f>((M158/1.2)-L158)*0.18</f>
        <v>6.6263399999999999</v>
      </c>
      <c r="O158" s="9">
        <v>0.25</v>
      </c>
      <c r="P158" s="8">
        <f>(((1-O158)*C158)/1.23)*F158+D158+N158</f>
        <v>34.638535121951222</v>
      </c>
      <c r="Q158" s="36">
        <f>(M158/1.2-P158)/(M158/1.2)</f>
        <v>0.11665684538415269</v>
      </c>
    </row>
    <row r="159" spans="2:17" ht="14.45" customHeight="1" x14ac:dyDescent="0.25">
      <c r="B159" s="123"/>
      <c r="C159" s="34">
        <v>269</v>
      </c>
      <c r="D159" s="2">
        <v>11</v>
      </c>
      <c r="E159" s="2">
        <v>1.1200000000000001</v>
      </c>
      <c r="F159" s="2">
        <v>0.22</v>
      </c>
      <c r="G159" s="2">
        <v>1</v>
      </c>
      <c r="H159" s="2">
        <v>0</v>
      </c>
      <c r="I159" s="2">
        <v>1</v>
      </c>
      <c r="J159" s="2">
        <v>0</v>
      </c>
      <c r="K159" s="6">
        <v>0.18</v>
      </c>
      <c r="L159" s="2">
        <v>10</v>
      </c>
      <c r="M159" s="7">
        <f>(C159+H159)*E159*F159*G159*I159+J159+L159</f>
        <v>76.281600000000012</v>
      </c>
      <c r="N159" s="8">
        <f>((M159/1.2)-L159)*0.18</f>
        <v>9.642240000000001</v>
      </c>
      <c r="O159" s="9">
        <v>0.25</v>
      </c>
      <c r="P159" s="8">
        <f>(((1-O159)*C159)/1.23)*F159+D159+N159</f>
        <v>56.727605853658538</v>
      </c>
      <c r="Q159" s="36">
        <f>(M159/1.2-P159)/(M159/1.2)</f>
        <v>0.10760750922384647</v>
      </c>
    </row>
    <row r="160" spans="2:17" ht="14.45" customHeight="1" x14ac:dyDescent="0.25">
      <c r="B160" s="123"/>
      <c r="C160" s="34">
        <v>769</v>
      </c>
      <c r="D160" s="2">
        <v>11</v>
      </c>
      <c r="E160" s="2">
        <v>0.93</v>
      </c>
      <c r="F160" s="2">
        <v>0.22</v>
      </c>
      <c r="G160" s="2">
        <v>1</v>
      </c>
      <c r="H160" s="2">
        <v>0</v>
      </c>
      <c r="I160" s="2">
        <v>1</v>
      </c>
      <c r="J160" s="2">
        <v>0</v>
      </c>
      <c r="K160" s="6">
        <v>0.18</v>
      </c>
      <c r="L160" s="2">
        <v>26</v>
      </c>
      <c r="M160" s="7">
        <f>(C160+H160)*E160*F160*G160*I160+J160+L160</f>
        <v>183.33740000000003</v>
      </c>
      <c r="N160" s="8">
        <f>((M160/1.2)-L160)*0.18</f>
        <v>22.820610000000006</v>
      </c>
      <c r="O160" s="9">
        <v>0.25</v>
      </c>
      <c r="P160" s="8">
        <f>(((1-O160)*C160)/1.23)*F160+D160+N160</f>
        <v>136.97914658536587</v>
      </c>
      <c r="Q160" s="36">
        <f>(M160/1.2-P160)/(M160/1.2)</f>
        <v>0.10342910992280353</v>
      </c>
    </row>
    <row r="161" spans="2:17" ht="14.45" customHeight="1" thickBot="1" x14ac:dyDescent="0.3">
      <c r="B161" s="124"/>
      <c r="C161" s="34">
        <v>1999</v>
      </c>
      <c r="D161" s="2">
        <v>11</v>
      </c>
      <c r="E161" s="2">
        <v>0.94</v>
      </c>
      <c r="F161" s="2">
        <v>0.22</v>
      </c>
      <c r="G161" s="2">
        <v>1</v>
      </c>
      <c r="H161" s="2">
        <v>0</v>
      </c>
      <c r="I161" s="2">
        <v>1</v>
      </c>
      <c r="J161" s="2">
        <v>0</v>
      </c>
      <c r="K161" s="6">
        <v>0.18</v>
      </c>
      <c r="L161" s="2">
        <v>39</v>
      </c>
      <c r="M161" s="7">
        <f>(C161+H161)*E161*F161*G161*I161+J161+L161</f>
        <v>452.39319999999998</v>
      </c>
      <c r="N161" s="8">
        <f>((M161/1.2)-L161)*0.18</f>
        <v>60.838979999999992</v>
      </c>
      <c r="O161" s="9">
        <v>0.25</v>
      </c>
      <c r="P161" s="8">
        <f>(((1-O161)*C161)/1.23)*F161+D161+N161</f>
        <v>339.99751658536587</v>
      </c>
      <c r="Q161" s="36">
        <f>(M161/1.2-P161)/(M161/1.2)</f>
        <v>9.8136267515870998E-2</v>
      </c>
    </row>
    <row r="163" spans="2:17" ht="14.45" customHeight="1" thickBot="1" x14ac:dyDescent="0.3"/>
    <row r="164" spans="2:17" ht="14.45" customHeight="1" x14ac:dyDescent="0.3">
      <c r="B164" s="122" t="s">
        <v>27</v>
      </c>
      <c r="C164" s="131" t="s">
        <v>16</v>
      </c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3"/>
    </row>
    <row r="165" spans="2:17" ht="14.45" customHeight="1" x14ac:dyDescent="0.25">
      <c r="B165" s="123"/>
      <c r="C165" s="1" t="s">
        <v>19</v>
      </c>
      <c r="D165" s="2" t="s">
        <v>2</v>
      </c>
      <c r="E165" s="2" t="s">
        <v>3</v>
      </c>
      <c r="F165" s="2" t="s">
        <v>4</v>
      </c>
      <c r="G165" s="2" t="s">
        <v>5</v>
      </c>
      <c r="H165" s="2" t="s">
        <v>6</v>
      </c>
      <c r="I165" s="2" t="s">
        <v>7</v>
      </c>
      <c r="J165" s="2" t="s">
        <v>8</v>
      </c>
      <c r="K165" s="2" t="s">
        <v>9</v>
      </c>
      <c r="L165" s="2" t="s">
        <v>10</v>
      </c>
      <c r="M165" s="2" t="s">
        <v>11</v>
      </c>
      <c r="N165" s="2" t="s">
        <v>12</v>
      </c>
      <c r="O165" s="2" t="s">
        <v>13</v>
      </c>
      <c r="P165" s="2" t="s">
        <v>14</v>
      </c>
      <c r="Q165" s="3" t="s">
        <v>15</v>
      </c>
    </row>
    <row r="166" spans="2:17" ht="14.45" customHeight="1" x14ac:dyDescent="0.25">
      <c r="B166" s="123"/>
      <c r="C166" s="34">
        <v>40</v>
      </c>
      <c r="D166" s="2">
        <v>6.4</v>
      </c>
      <c r="E166" s="2">
        <v>1.175</v>
      </c>
      <c r="F166" s="2">
        <v>0.22</v>
      </c>
      <c r="G166" s="2">
        <v>1</v>
      </c>
      <c r="H166" s="2">
        <v>30</v>
      </c>
      <c r="I166" s="2">
        <v>1</v>
      </c>
      <c r="J166" s="2">
        <v>0</v>
      </c>
      <c r="K166" s="6">
        <v>0.18</v>
      </c>
      <c r="L166" s="2">
        <v>0</v>
      </c>
      <c r="M166" s="7">
        <f>(C166+H166)*E166*F166*G166*I166+J166+L166</f>
        <v>18.094999999999999</v>
      </c>
      <c r="N166" s="8">
        <f>((M166/1.2)-L166)*0.18</f>
        <v>2.7142499999999998</v>
      </c>
      <c r="O166" s="9">
        <v>0.4</v>
      </c>
      <c r="P166" s="8">
        <f>(((1-O166)*C166)/1.23)*F166+D166+N166</f>
        <v>13.406932926829269</v>
      </c>
      <c r="Q166" s="36">
        <f>(M166/1.2-P166)/(M166/1.2)</f>
        <v>0.11089695981237228</v>
      </c>
    </row>
    <row r="167" spans="2:17" ht="14.45" customHeight="1" x14ac:dyDescent="0.25">
      <c r="B167" s="123"/>
      <c r="C167" s="34">
        <v>100</v>
      </c>
      <c r="D167" s="2">
        <v>6.4</v>
      </c>
      <c r="E167" s="2">
        <v>1.012</v>
      </c>
      <c r="F167" s="2">
        <v>0.22</v>
      </c>
      <c r="G167" s="2">
        <v>1</v>
      </c>
      <c r="H167" s="2">
        <v>30</v>
      </c>
      <c r="I167" s="2">
        <v>1</v>
      </c>
      <c r="J167" s="2">
        <v>0</v>
      </c>
      <c r="K167" s="6">
        <v>0.18</v>
      </c>
      <c r="L167" s="2">
        <v>0</v>
      </c>
      <c r="M167" s="7">
        <f>(C167+H167)*E167*F167*G167*I167+J167+L167</f>
        <v>28.943200000000001</v>
      </c>
      <c r="N167" s="8">
        <f>((M167/1.2)-L167)*0.18</f>
        <v>4.3414799999999998</v>
      </c>
      <c r="O167" s="9">
        <v>0.4</v>
      </c>
      <c r="P167" s="8">
        <f>(((1-O167)*C167)/1.23)*F167+D167+N167</f>
        <v>21.473187317073172</v>
      </c>
      <c r="Q167" s="36">
        <f>(M167/1.2-P167)/(M167/1.2)</f>
        <v>0.10971057863374448</v>
      </c>
    </row>
    <row r="168" spans="2:17" ht="14.45" customHeight="1" x14ac:dyDescent="0.25">
      <c r="B168" s="123"/>
      <c r="C168" s="34">
        <v>200</v>
      </c>
      <c r="D168" s="2">
        <v>6.4</v>
      </c>
      <c r="E168" s="2">
        <v>0.92500000000000004</v>
      </c>
      <c r="F168" s="2">
        <v>0.22</v>
      </c>
      <c r="G168" s="2">
        <v>1</v>
      </c>
      <c r="H168" s="2">
        <v>30</v>
      </c>
      <c r="I168" s="2">
        <v>1</v>
      </c>
      <c r="J168" s="2">
        <v>0</v>
      </c>
      <c r="K168" s="6">
        <v>0.18</v>
      </c>
      <c r="L168" s="2">
        <v>0</v>
      </c>
      <c r="M168" s="7">
        <f>(C168+H168)*E168*F168*G168*I168+J168+L168</f>
        <v>46.805</v>
      </c>
      <c r="N168" s="8">
        <f>((M168/1.2)-L168)*0.18</f>
        <v>7.0207500000000005</v>
      </c>
      <c r="O168" s="9">
        <v>0.4</v>
      </c>
      <c r="P168" s="8">
        <f>(((1-O168)*C168)/1.23)*F168+D168+N168</f>
        <v>34.884164634146344</v>
      </c>
      <c r="Q168" s="36">
        <f>(M168/1.2-P168)/(M168/1.2)</f>
        <v>0.10562979252268753</v>
      </c>
    </row>
    <row r="169" spans="2:17" ht="14.45" customHeight="1" x14ac:dyDescent="0.25">
      <c r="B169" s="123"/>
      <c r="C169" s="34">
        <v>350</v>
      </c>
      <c r="D169" s="2">
        <v>6.4</v>
      </c>
      <c r="E169" s="2">
        <v>0.88</v>
      </c>
      <c r="F169" s="2">
        <v>0.22</v>
      </c>
      <c r="G169" s="2">
        <v>1</v>
      </c>
      <c r="H169" s="2">
        <v>30</v>
      </c>
      <c r="I169" s="2">
        <v>1</v>
      </c>
      <c r="J169" s="2">
        <v>0</v>
      </c>
      <c r="K169" s="6">
        <v>0.18</v>
      </c>
      <c r="L169" s="2">
        <v>0</v>
      </c>
      <c r="M169" s="7">
        <f>(C169+H169)*E169*F169*G169*I169+J169+L169</f>
        <v>73.567999999999998</v>
      </c>
      <c r="N169" s="8">
        <f>((M169/1.2)-L169)*0.18</f>
        <v>11.0352</v>
      </c>
      <c r="O169" s="9">
        <v>0.4</v>
      </c>
      <c r="P169" s="8">
        <f>(((1-O169)*C169)/1.23)*F169+D169+N169</f>
        <v>54.996175609756094</v>
      </c>
      <c r="Q169" s="36">
        <f>(M169/1.2-P169)/(M169/1.2)</f>
        <v>0.10293319470819766</v>
      </c>
    </row>
    <row r="170" spans="2:17" ht="14.45" customHeight="1" x14ac:dyDescent="0.25">
      <c r="B170" s="123"/>
      <c r="C170" s="34">
        <v>400</v>
      </c>
      <c r="D170" s="2">
        <v>6.4</v>
      </c>
      <c r="E170" s="2">
        <v>0.87</v>
      </c>
      <c r="F170" s="2">
        <v>0.22</v>
      </c>
      <c r="G170" s="2">
        <v>1</v>
      </c>
      <c r="H170" s="2">
        <v>30</v>
      </c>
      <c r="I170" s="2">
        <v>1</v>
      </c>
      <c r="J170" s="2">
        <v>0</v>
      </c>
      <c r="K170" s="6">
        <v>0.18</v>
      </c>
      <c r="L170" s="2">
        <v>0</v>
      </c>
      <c r="M170" s="7">
        <f>(C170+H170)*E170*F170*G170*I170+J170+L170</f>
        <v>82.302000000000007</v>
      </c>
      <c r="N170" s="8">
        <f>((M170/1.2)-L170)*0.18</f>
        <v>12.345300000000002</v>
      </c>
      <c r="O170" s="9">
        <v>0.4</v>
      </c>
      <c r="P170" s="8">
        <f>(((1-O170)*C170)/1.23)*F170+D170+N170</f>
        <v>61.672129268292686</v>
      </c>
      <c r="Q170" s="36">
        <f>(M170/1.2-P170)/(M170/1.2)</f>
        <v>0.10079274960570564</v>
      </c>
    </row>
    <row r="171" spans="2:17" ht="14.45" customHeight="1" x14ac:dyDescent="0.25">
      <c r="B171" s="123"/>
      <c r="Q171" s="18"/>
    </row>
    <row r="172" spans="2:17" ht="14.45" customHeight="1" x14ac:dyDescent="0.25">
      <c r="B172" s="123"/>
      <c r="Q172" s="18"/>
    </row>
    <row r="173" spans="2:17" ht="14.45" customHeight="1" x14ac:dyDescent="0.3">
      <c r="B173" s="123"/>
      <c r="C173" s="134" t="s">
        <v>17</v>
      </c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6"/>
    </row>
    <row r="174" spans="2:17" ht="14.45" customHeight="1" x14ac:dyDescent="0.25">
      <c r="B174" s="123"/>
      <c r="C174" s="1" t="s">
        <v>19</v>
      </c>
      <c r="D174" s="2" t="s">
        <v>2</v>
      </c>
      <c r="E174" s="2" t="s">
        <v>3</v>
      </c>
      <c r="F174" s="2" t="s">
        <v>4</v>
      </c>
      <c r="G174" s="2" t="s">
        <v>5</v>
      </c>
      <c r="H174" s="2" t="s">
        <v>6</v>
      </c>
      <c r="I174" s="2" t="s">
        <v>7</v>
      </c>
      <c r="J174" s="2" t="s">
        <v>8</v>
      </c>
      <c r="K174" s="2" t="s">
        <v>9</v>
      </c>
      <c r="L174" s="2" t="s">
        <v>10</v>
      </c>
      <c r="M174" s="2" t="s">
        <v>11</v>
      </c>
      <c r="N174" s="2" t="s">
        <v>12</v>
      </c>
      <c r="O174" s="2" t="s">
        <v>13</v>
      </c>
      <c r="P174" s="2" t="s">
        <v>14</v>
      </c>
      <c r="Q174" s="3" t="s">
        <v>15</v>
      </c>
    </row>
    <row r="175" spans="2:17" ht="14.45" customHeight="1" x14ac:dyDescent="0.25">
      <c r="B175" s="123"/>
      <c r="C175" s="34">
        <v>40</v>
      </c>
      <c r="D175" s="2">
        <v>4</v>
      </c>
      <c r="E175" s="2">
        <v>0.82599999999999996</v>
      </c>
      <c r="F175" s="2">
        <v>0.22</v>
      </c>
      <c r="G175" s="2">
        <v>1</v>
      </c>
      <c r="H175" s="2">
        <v>20</v>
      </c>
      <c r="I175" s="2">
        <v>1</v>
      </c>
      <c r="J175" s="2">
        <v>0</v>
      </c>
      <c r="K175" s="6">
        <v>0.18</v>
      </c>
      <c r="L175" s="2">
        <v>2.4</v>
      </c>
      <c r="M175" s="7">
        <f>(C175+H175)*E175*F175*G175*I175+J175+L175</f>
        <v>13.303199999999999</v>
      </c>
      <c r="N175" s="8">
        <f>((M175/1.2)-L175)*0.18</f>
        <v>1.5634799999999995</v>
      </c>
      <c r="O175" s="9">
        <v>0.4</v>
      </c>
      <c r="P175" s="8">
        <f>(((1-O175)*C175)/1.23)*F175+D175+N175</f>
        <v>9.8561629268292688</v>
      </c>
      <c r="Q175" s="36">
        <f>(M175/1.2-P175)/(M175/1.2)</f>
        <v>0.11093605206302813</v>
      </c>
    </row>
    <row r="176" spans="2:17" ht="14.45" customHeight="1" x14ac:dyDescent="0.25">
      <c r="B176" s="123"/>
      <c r="C176" s="34">
        <v>100</v>
      </c>
      <c r="D176" s="2">
        <v>4</v>
      </c>
      <c r="E176" s="2">
        <v>0.82399999999999995</v>
      </c>
      <c r="F176" s="2">
        <v>0.22</v>
      </c>
      <c r="G176" s="2">
        <v>1</v>
      </c>
      <c r="H176" s="2">
        <v>20</v>
      </c>
      <c r="I176" s="2">
        <v>1</v>
      </c>
      <c r="J176" s="2">
        <v>0</v>
      </c>
      <c r="K176" s="6">
        <v>0.18</v>
      </c>
      <c r="L176" s="2">
        <v>2.4</v>
      </c>
      <c r="M176" s="7">
        <f>(C176+H176)*E176*F176*G176*I176+J176+L176</f>
        <v>24.153599999999997</v>
      </c>
      <c r="N176" s="8">
        <f>((M176/1.2)-L176)*0.18</f>
        <v>3.1910400000000001</v>
      </c>
      <c r="O176" s="9">
        <v>0.4</v>
      </c>
      <c r="P176" s="8">
        <f>(((1-O176)*C176)/1.23)*F176+D176+N176</f>
        <v>17.922747317073171</v>
      </c>
      <c r="Q176" s="36">
        <f>(M176/1.2-P176)/(M176/1.2)</f>
        <v>0.10956144092442516</v>
      </c>
    </row>
    <row r="177" spans="2:17" ht="14.45" customHeight="1" x14ac:dyDescent="0.25">
      <c r="B177" s="123"/>
      <c r="C177" s="34">
        <v>200</v>
      </c>
      <c r="D177" s="2">
        <v>4</v>
      </c>
      <c r="E177" s="2">
        <v>0.82099999999999995</v>
      </c>
      <c r="F177" s="2">
        <v>0.22</v>
      </c>
      <c r="G177" s="2">
        <v>1</v>
      </c>
      <c r="H177" s="2">
        <v>20</v>
      </c>
      <c r="I177" s="2">
        <v>1</v>
      </c>
      <c r="J177" s="2">
        <v>0</v>
      </c>
      <c r="K177" s="6">
        <v>0.18</v>
      </c>
      <c r="L177" s="2">
        <v>2.4</v>
      </c>
      <c r="M177" s="7">
        <f>(C177+H177)*E177*F177*G177*I177+J177+L177</f>
        <v>42.136399999999995</v>
      </c>
      <c r="N177" s="8">
        <f>((M177/1.2)-L177)*0.18</f>
        <v>5.8884600000000002</v>
      </c>
      <c r="O177" s="9">
        <v>0.4</v>
      </c>
      <c r="P177" s="8">
        <f>(((1-O177)*C177)/1.23)*F177+D177+N177</f>
        <v>31.351874634146341</v>
      </c>
      <c r="Q177" s="36">
        <f>(M177/1.2-P177)/(M177/1.2)</f>
        <v>0.10713184892454958</v>
      </c>
    </row>
    <row r="178" spans="2:17" ht="14.45" customHeight="1" x14ac:dyDescent="0.25">
      <c r="B178" s="123"/>
      <c r="C178" s="34">
        <v>350</v>
      </c>
      <c r="D178" s="2">
        <v>4</v>
      </c>
      <c r="E178" s="2">
        <v>0.82</v>
      </c>
      <c r="F178" s="2">
        <v>0.22</v>
      </c>
      <c r="G178" s="2">
        <v>1</v>
      </c>
      <c r="H178" s="2">
        <v>20</v>
      </c>
      <c r="I178" s="2">
        <v>1</v>
      </c>
      <c r="J178" s="2">
        <v>0</v>
      </c>
      <c r="K178" s="6">
        <v>0.18</v>
      </c>
      <c r="L178" s="2">
        <v>2.4</v>
      </c>
      <c r="M178" s="7">
        <f>(C178+H178)*E178*F178*G178*I178+J178+L178</f>
        <v>69.147999999999996</v>
      </c>
      <c r="N178" s="8">
        <f>((M178/1.2)-L178)*0.18</f>
        <v>9.9402000000000008</v>
      </c>
      <c r="O178" s="9">
        <v>0.4</v>
      </c>
      <c r="P178" s="8">
        <f>(((1-O178)*C178)/1.23)*F178+D178+N178</f>
        <v>51.501175609756103</v>
      </c>
      <c r="Q178" s="36">
        <f>(M178/1.2-P178)/(M178/1.2)</f>
        <v>0.10624442165055645</v>
      </c>
    </row>
    <row r="179" spans="2:17" ht="14.45" customHeight="1" thickBot="1" x14ac:dyDescent="0.3">
      <c r="B179" s="124"/>
      <c r="C179" s="34">
        <v>400</v>
      </c>
      <c r="D179" s="2">
        <v>4</v>
      </c>
      <c r="E179" s="2">
        <v>0.81299999999999994</v>
      </c>
      <c r="F179" s="2">
        <v>0.22</v>
      </c>
      <c r="G179" s="2">
        <v>1</v>
      </c>
      <c r="H179" s="2">
        <v>20</v>
      </c>
      <c r="I179" s="2">
        <v>1</v>
      </c>
      <c r="J179" s="2">
        <v>0</v>
      </c>
      <c r="K179" s="6">
        <v>0.18</v>
      </c>
      <c r="L179" s="2">
        <v>2.4</v>
      </c>
      <c r="M179" s="7">
        <f>(C179+H179)*E179*F179*G179*I179+J179+L179</f>
        <v>77.521200000000007</v>
      </c>
      <c r="N179" s="8">
        <f>((M179/1.2)-L179)*0.18</f>
        <v>11.196180000000002</v>
      </c>
      <c r="O179" s="9">
        <v>0.4</v>
      </c>
      <c r="P179" s="8">
        <f>(((1-O179)*C179)/1.23)*F179+D179+N179</f>
        <v>58.123009268292691</v>
      </c>
      <c r="Q179" s="36">
        <f>(M179/1.2-P179)/(M179/1.2)</f>
        <v>0.1002769420242306</v>
      </c>
    </row>
    <row r="181" spans="2:17" ht="14.45" customHeight="1" thickBot="1" x14ac:dyDescent="0.3"/>
    <row r="182" spans="2:17" ht="14.45" customHeight="1" x14ac:dyDescent="0.3">
      <c r="B182" s="122" t="s">
        <v>28</v>
      </c>
      <c r="C182" s="131" t="s">
        <v>16</v>
      </c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3"/>
    </row>
    <row r="183" spans="2:17" ht="14.45" customHeight="1" x14ac:dyDescent="0.25">
      <c r="B183" s="123"/>
      <c r="C183" s="1" t="s">
        <v>1</v>
      </c>
      <c r="D183" s="2" t="s">
        <v>2</v>
      </c>
      <c r="E183" s="2" t="s">
        <v>3</v>
      </c>
      <c r="F183" s="2" t="s">
        <v>4</v>
      </c>
      <c r="G183" s="2" t="s">
        <v>5</v>
      </c>
      <c r="H183" s="2" t="s">
        <v>6</v>
      </c>
      <c r="I183" s="2" t="s">
        <v>7</v>
      </c>
      <c r="J183" s="2" t="s">
        <v>8</v>
      </c>
      <c r="K183" s="2" t="s">
        <v>9</v>
      </c>
      <c r="L183" s="2" t="s">
        <v>10</v>
      </c>
      <c r="M183" s="2" t="s">
        <v>11</v>
      </c>
      <c r="N183" s="2" t="s">
        <v>12</v>
      </c>
      <c r="O183" s="2" t="s">
        <v>13</v>
      </c>
      <c r="P183" s="2" t="s">
        <v>14</v>
      </c>
      <c r="Q183" s="3" t="s">
        <v>15</v>
      </c>
    </row>
    <row r="184" spans="2:17" ht="14.45" customHeight="1" x14ac:dyDescent="0.25">
      <c r="B184" s="123"/>
      <c r="C184" s="34">
        <v>24.18</v>
      </c>
      <c r="D184" s="2">
        <v>6.4</v>
      </c>
      <c r="E184" s="2">
        <v>1.27</v>
      </c>
      <c r="F184" s="2">
        <v>0.22</v>
      </c>
      <c r="G184" s="2">
        <v>1.23</v>
      </c>
      <c r="H184" s="2">
        <v>30</v>
      </c>
      <c r="I184" s="2">
        <v>1</v>
      </c>
      <c r="J184" s="2">
        <v>0</v>
      </c>
      <c r="K184" s="6">
        <v>0.18</v>
      </c>
      <c r="L184" s="2">
        <v>0</v>
      </c>
      <c r="M184" s="7">
        <f>(C184+H184)*E184*F184*G184*I184+J184+L184</f>
        <v>18.619607159999997</v>
      </c>
      <c r="N184" s="8">
        <f>((M184/1.2)-L184)*0.18</f>
        <v>2.7929410739999998</v>
      </c>
      <c r="O184" s="9">
        <v>0</v>
      </c>
      <c r="P184" s="8">
        <f>(1-O184)*C184*F184+D184+N184</f>
        <v>14.512541074</v>
      </c>
      <c r="Q184" s="36">
        <f>(M184/1.2-P184)/(M184/1.2)</f>
        <v>6.4692979870580619E-2</v>
      </c>
    </row>
    <row r="185" spans="2:17" ht="14.45" customHeight="1" x14ac:dyDescent="0.25">
      <c r="B185" s="123"/>
      <c r="C185" s="34">
        <v>47.68</v>
      </c>
      <c r="D185" s="2">
        <v>6.4</v>
      </c>
      <c r="E185" s="2">
        <v>1.2689999999999999</v>
      </c>
      <c r="F185" s="2">
        <v>0.22</v>
      </c>
      <c r="G185" s="2">
        <v>1.23</v>
      </c>
      <c r="H185" s="2">
        <v>30</v>
      </c>
      <c r="I185" s="2">
        <v>1</v>
      </c>
      <c r="J185" s="2">
        <v>0</v>
      </c>
      <c r="K185" s="6">
        <v>0.18</v>
      </c>
      <c r="L185" s="2">
        <v>0</v>
      </c>
      <c r="M185" s="7">
        <f>(C185+H185)*E185*F185*G185*I185+J185+L185</f>
        <v>26.674643951999997</v>
      </c>
      <c r="N185" s="8">
        <f>((M185/1.2)-L185)*0.18</f>
        <v>4.0011965927999995</v>
      </c>
      <c r="O185" s="9">
        <v>0</v>
      </c>
      <c r="P185" s="8">
        <f>(1-O185)*C185*F185+D185+N185</f>
        <v>20.890796592800001</v>
      </c>
      <c r="Q185" s="36">
        <f>(M185/1.2-P185)/(M185/1.2)</f>
        <v>6.0195294210088422E-2</v>
      </c>
    </row>
    <row r="186" spans="2:17" ht="14.45" customHeight="1" x14ac:dyDescent="0.25">
      <c r="B186" s="123"/>
      <c r="C186" s="34">
        <v>102.97</v>
      </c>
      <c r="D186" s="2">
        <v>6.4</v>
      </c>
      <c r="E186" s="2">
        <v>1.268</v>
      </c>
      <c r="F186" s="2">
        <v>0.22</v>
      </c>
      <c r="G186" s="2">
        <v>1.23</v>
      </c>
      <c r="H186" s="2">
        <v>30</v>
      </c>
      <c r="I186" s="2">
        <v>1</v>
      </c>
      <c r="J186" s="2">
        <v>0</v>
      </c>
      <c r="K186" s="6">
        <v>0.18</v>
      </c>
      <c r="L186" s="2">
        <v>0</v>
      </c>
      <c r="M186" s="7">
        <f>(C186+H186)*E186*F186*G186*I186+J186+L186</f>
        <v>45.624772776</v>
      </c>
      <c r="N186" s="8">
        <f>((M186/1.2)-L186)*0.18</f>
        <v>6.8437159163999999</v>
      </c>
      <c r="O186" s="9">
        <v>0</v>
      </c>
      <c r="P186" s="8">
        <f>(1-O186)*C186*F186+D186+N186</f>
        <v>35.897115916400004</v>
      </c>
      <c r="Q186" s="36">
        <f>(M186/1.2-P186)/(M186/1.2)</f>
        <v>5.5851975172146948E-2</v>
      </c>
    </row>
    <row r="187" spans="2:17" ht="14.45" customHeight="1" x14ac:dyDescent="0.25">
      <c r="B187" s="123"/>
      <c r="C187" s="34">
        <v>891.46</v>
      </c>
      <c r="D187" s="2">
        <v>6.4</v>
      </c>
      <c r="E187" s="2">
        <v>1.2669999999999999</v>
      </c>
      <c r="F187" s="2">
        <v>0.22</v>
      </c>
      <c r="G187" s="2">
        <v>1.23</v>
      </c>
      <c r="H187" s="2">
        <v>30</v>
      </c>
      <c r="I187" s="2">
        <v>1</v>
      </c>
      <c r="J187" s="2">
        <v>0</v>
      </c>
      <c r="K187" s="6">
        <v>0.18</v>
      </c>
      <c r="L187" s="2">
        <v>0</v>
      </c>
      <c r="M187" s="7">
        <f>(C187+H187)*E187*F187*G187*I187+J187+L187</f>
        <v>315.922745292</v>
      </c>
      <c r="N187" s="8">
        <f>((M187/1.2)-L187)*0.18</f>
        <v>47.388411793799996</v>
      </c>
      <c r="O187" s="9">
        <v>0</v>
      </c>
      <c r="P187" s="8">
        <f>(1-O187)*C187*F187+D187+N187</f>
        <v>249.90961179380002</v>
      </c>
      <c r="Q187" s="36">
        <f>(M187/1.2-P187)/(M187/1.2)</f>
        <v>5.0744086579213178E-2</v>
      </c>
    </row>
    <row r="188" spans="2:17" ht="14.45" customHeight="1" x14ac:dyDescent="0.25">
      <c r="B188" s="123"/>
      <c r="C188" s="34">
        <v>3172</v>
      </c>
      <c r="D188" s="2">
        <v>6.4</v>
      </c>
      <c r="E188" s="2">
        <v>1.266</v>
      </c>
      <c r="F188" s="2">
        <v>0.22</v>
      </c>
      <c r="G188" s="2">
        <v>1.23</v>
      </c>
      <c r="H188" s="2">
        <v>30</v>
      </c>
      <c r="I188" s="2">
        <v>1</v>
      </c>
      <c r="J188" s="2">
        <v>0</v>
      </c>
      <c r="K188" s="6">
        <v>0.18</v>
      </c>
      <c r="L188" s="2">
        <v>0</v>
      </c>
      <c r="M188" s="7">
        <f>(C188+H188)*E188*F188*G188*I188+J188+L188</f>
        <v>1096.9398792</v>
      </c>
      <c r="N188" s="8">
        <f>((M188/1.2)-L188)*0.18</f>
        <v>164.54098188</v>
      </c>
      <c r="O188" s="9">
        <v>0</v>
      </c>
      <c r="P188" s="8">
        <f>(1-O188)*C188*F188+D188+N188</f>
        <v>868.78098188000001</v>
      </c>
      <c r="Q188" s="36">
        <f>(M188/1.2-P188)/(M188/1.2)</f>
        <v>4.9594970495261785E-2</v>
      </c>
    </row>
    <row r="189" spans="2:17" ht="14.45" customHeight="1" x14ac:dyDescent="0.25">
      <c r="B189" s="123"/>
      <c r="Q189" s="18"/>
    </row>
    <row r="190" spans="2:17" ht="14.45" customHeight="1" x14ac:dyDescent="0.25">
      <c r="B190" s="123"/>
      <c r="Q190" s="18"/>
    </row>
    <row r="191" spans="2:17" ht="14.45" customHeight="1" x14ac:dyDescent="0.3">
      <c r="B191" s="123"/>
      <c r="C191" s="134" t="s">
        <v>17</v>
      </c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6"/>
    </row>
    <row r="192" spans="2:17" ht="14.45" customHeight="1" x14ac:dyDescent="0.25">
      <c r="B192" s="123"/>
      <c r="C192" s="1" t="s">
        <v>1</v>
      </c>
      <c r="D192" s="2" t="s">
        <v>2</v>
      </c>
      <c r="E192" s="2" t="s">
        <v>3</v>
      </c>
      <c r="F192" s="2" t="s">
        <v>4</v>
      </c>
      <c r="G192" s="2" t="s">
        <v>5</v>
      </c>
      <c r="H192" s="2" t="s">
        <v>6</v>
      </c>
      <c r="I192" s="2" t="s">
        <v>7</v>
      </c>
      <c r="J192" s="2" t="s">
        <v>8</v>
      </c>
      <c r="K192" s="2" t="s">
        <v>9</v>
      </c>
      <c r="L192" s="2" t="s">
        <v>10</v>
      </c>
      <c r="M192" s="2" t="s">
        <v>11</v>
      </c>
      <c r="N192" s="2" t="s">
        <v>12</v>
      </c>
      <c r="O192" s="2" t="s">
        <v>13</v>
      </c>
      <c r="P192" s="2" t="s">
        <v>14</v>
      </c>
      <c r="Q192" s="3" t="s">
        <v>15</v>
      </c>
    </row>
    <row r="193" spans="2:17" ht="14.45" customHeight="1" x14ac:dyDescent="0.25">
      <c r="B193" s="123"/>
      <c r="C193" s="34">
        <v>24.18</v>
      </c>
      <c r="D193" s="2">
        <v>4</v>
      </c>
      <c r="E193" s="2">
        <v>0.98</v>
      </c>
      <c r="F193" s="2">
        <v>0.22</v>
      </c>
      <c r="G193" s="2">
        <v>1.23</v>
      </c>
      <c r="H193" s="2">
        <v>20</v>
      </c>
      <c r="I193" s="2">
        <v>1</v>
      </c>
      <c r="J193" s="2">
        <v>0</v>
      </c>
      <c r="K193" s="6">
        <v>0.18</v>
      </c>
      <c r="L193" s="2">
        <v>2.4</v>
      </c>
      <c r="M193" s="7">
        <f>(C193+H193)*E193*F193*G193*I193+J193+L193</f>
        <v>14.11600584</v>
      </c>
      <c r="N193" s="8">
        <f>((M193/1.2)-L193)*0.18</f>
        <v>1.6854008759999999</v>
      </c>
      <c r="O193" s="9">
        <v>0</v>
      </c>
      <c r="P193" s="8">
        <f>(1-O193)*C193*F193+D193+N193</f>
        <v>11.005000876</v>
      </c>
      <c r="Q193" s="36">
        <f>(M193/1.2-P193)/(M193/1.2)</f>
        <v>6.4466166925303506E-2</v>
      </c>
    </row>
    <row r="194" spans="2:17" ht="14.45" customHeight="1" x14ac:dyDescent="0.25">
      <c r="B194" s="123"/>
      <c r="C194" s="34">
        <v>47.68</v>
      </c>
      <c r="D194" s="2">
        <v>4</v>
      </c>
      <c r="E194" s="2">
        <v>1.0840000000000001</v>
      </c>
      <c r="F194" s="2">
        <v>0.22</v>
      </c>
      <c r="G194" s="2">
        <v>1.23</v>
      </c>
      <c r="H194" s="2">
        <v>20</v>
      </c>
      <c r="I194" s="2">
        <v>1</v>
      </c>
      <c r="J194" s="2">
        <v>0</v>
      </c>
      <c r="K194" s="6">
        <v>0.18</v>
      </c>
      <c r="L194" s="2">
        <v>2.4</v>
      </c>
      <c r="M194" s="7">
        <f>(C194+H194)*E194*F194*G194*I194+J194+L194</f>
        <v>22.252601472000002</v>
      </c>
      <c r="N194" s="8">
        <f>((M194/1.2)-L194)*0.18</f>
        <v>2.9058902208000008</v>
      </c>
      <c r="O194" s="9">
        <v>0</v>
      </c>
      <c r="P194" s="8">
        <f>(1-O194)*C194*F194+D194+N194</f>
        <v>17.395490220799999</v>
      </c>
      <c r="Q194" s="36">
        <f>(M194/1.2-P194)/(M194/1.2)</f>
        <v>6.1925937458320625E-2</v>
      </c>
    </row>
    <row r="195" spans="2:17" ht="14.45" customHeight="1" x14ac:dyDescent="0.25">
      <c r="B195" s="123"/>
      <c r="C195" s="34">
        <v>102.97</v>
      </c>
      <c r="D195" s="2">
        <v>4</v>
      </c>
      <c r="E195" s="2">
        <v>1.17</v>
      </c>
      <c r="F195" s="2">
        <v>0.22</v>
      </c>
      <c r="G195" s="2">
        <v>1.23</v>
      </c>
      <c r="H195" s="2">
        <v>20</v>
      </c>
      <c r="I195" s="2">
        <v>1</v>
      </c>
      <c r="J195" s="2">
        <v>0</v>
      </c>
      <c r="K195" s="6">
        <v>0.18</v>
      </c>
      <c r="L195" s="2">
        <v>2.4</v>
      </c>
      <c r="M195" s="7">
        <f>(C195+H195)*E195*F195*G195*I195+J195+L195</f>
        <v>41.332547939999998</v>
      </c>
      <c r="N195" s="8">
        <f>((M195/1.2)-L195)*0.18</f>
        <v>5.7678821910000009</v>
      </c>
      <c r="O195" s="9">
        <v>0</v>
      </c>
      <c r="P195" s="8">
        <f>(1-O195)*C195*F195+D195+N195</f>
        <v>32.421282191000003</v>
      </c>
      <c r="Q195" s="36">
        <f>(M195/1.2-P195)/(M195/1.2)</f>
        <v>5.8719082944587511E-2</v>
      </c>
    </row>
    <row r="196" spans="2:17" ht="14.45" customHeight="1" x14ac:dyDescent="0.25">
      <c r="B196" s="123"/>
      <c r="C196" s="34">
        <v>891.46</v>
      </c>
      <c r="D196" s="2">
        <v>4</v>
      </c>
      <c r="E196" s="2">
        <v>1.2549999999999999</v>
      </c>
      <c r="F196" s="2">
        <v>0.22</v>
      </c>
      <c r="G196" s="2">
        <v>1.23</v>
      </c>
      <c r="H196" s="2">
        <v>20</v>
      </c>
      <c r="I196" s="2">
        <v>1</v>
      </c>
      <c r="J196" s="2">
        <v>0</v>
      </c>
      <c r="K196" s="6">
        <v>0.18</v>
      </c>
      <c r="L196" s="2">
        <v>2.4</v>
      </c>
      <c r="M196" s="7">
        <f>(C196+H196)*E196*F196*G196*I196+J196+L196</f>
        <v>311.93455037999996</v>
      </c>
      <c r="N196" s="8">
        <f>((M196/1.2)-L196)*0.18</f>
        <v>46.358182556999999</v>
      </c>
      <c r="O196" s="9">
        <v>0</v>
      </c>
      <c r="P196" s="8">
        <f>(1-O196)*C196*F196+D196+N196</f>
        <v>246.47938255700001</v>
      </c>
      <c r="Q196" s="36">
        <f>(M196/1.2-P196)/(M196/1.2)</f>
        <v>5.1803467400179451E-2</v>
      </c>
    </row>
    <row r="197" spans="2:17" ht="14.45" customHeight="1" thickBot="1" x14ac:dyDescent="0.3">
      <c r="B197" s="124"/>
      <c r="C197" s="34">
        <v>3172</v>
      </c>
      <c r="D197" s="2">
        <v>4</v>
      </c>
      <c r="E197" s="2">
        <v>1.26</v>
      </c>
      <c r="F197" s="2">
        <v>0.22</v>
      </c>
      <c r="G197" s="2">
        <v>1.23</v>
      </c>
      <c r="H197" s="2">
        <v>20</v>
      </c>
      <c r="I197" s="2">
        <v>1</v>
      </c>
      <c r="J197" s="2">
        <v>0</v>
      </c>
      <c r="K197" s="6">
        <v>0.18</v>
      </c>
      <c r="L197" s="2">
        <v>2.4</v>
      </c>
      <c r="M197" s="7">
        <f>(C197+H197)*E197*F197*G197*I197+J197+L197</f>
        <v>1090.7315520000002</v>
      </c>
      <c r="N197" s="8">
        <f>((M197/1.2)-L197)*0.18</f>
        <v>163.17773280000003</v>
      </c>
      <c r="O197" s="9">
        <v>0</v>
      </c>
      <c r="P197" s="8">
        <f>(1-O197)*C197*F197+D197+N197</f>
        <v>865.01773280000009</v>
      </c>
      <c r="Q197" s="36">
        <f>(M197/1.2-P197)/(M197/1.2)</f>
        <v>4.8325614623826452E-2</v>
      </c>
    </row>
    <row r="199" spans="2:17" ht="14.45" customHeight="1" thickBot="1" x14ac:dyDescent="0.3"/>
    <row r="200" spans="2:17" ht="14.45" customHeight="1" x14ac:dyDescent="0.3">
      <c r="B200" s="122" t="s">
        <v>29</v>
      </c>
      <c r="C200" s="131" t="s">
        <v>16</v>
      </c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3"/>
    </row>
    <row r="201" spans="2:17" ht="14.45" customHeight="1" x14ac:dyDescent="0.25">
      <c r="B201" s="123"/>
      <c r="C201" s="1" t="s">
        <v>19</v>
      </c>
      <c r="D201" s="2" t="s">
        <v>2</v>
      </c>
      <c r="E201" s="2" t="s">
        <v>3</v>
      </c>
      <c r="F201" s="2" t="s">
        <v>4</v>
      </c>
      <c r="G201" s="2" t="s">
        <v>5</v>
      </c>
      <c r="H201" s="2" t="s">
        <v>6</v>
      </c>
      <c r="I201" s="2" t="s">
        <v>7</v>
      </c>
      <c r="J201" s="2" t="s">
        <v>8</v>
      </c>
      <c r="K201" s="2" t="s">
        <v>9</v>
      </c>
      <c r="L201" s="2" t="s">
        <v>10</v>
      </c>
      <c r="M201" s="2" t="s">
        <v>11</v>
      </c>
      <c r="N201" s="2" t="s">
        <v>12</v>
      </c>
      <c r="O201" s="2" t="s">
        <v>13</v>
      </c>
      <c r="P201" s="2" t="s">
        <v>14</v>
      </c>
      <c r="Q201" s="3" t="s">
        <v>15</v>
      </c>
    </row>
    <row r="202" spans="2:17" ht="14.45" customHeight="1" x14ac:dyDescent="0.25">
      <c r="B202" s="123"/>
      <c r="C202" s="34">
        <v>40</v>
      </c>
      <c r="D202" s="2">
        <v>6.4</v>
      </c>
      <c r="E202" s="2">
        <v>1.175</v>
      </c>
      <c r="F202" s="2">
        <v>0.22</v>
      </c>
      <c r="G202" s="2">
        <v>1</v>
      </c>
      <c r="H202" s="2">
        <v>30</v>
      </c>
      <c r="I202" s="2">
        <v>1</v>
      </c>
      <c r="J202" s="2">
        <v>0</v>
      </c>
      <c r="K202" s="6">
        <v>0.18</v>
      </c>
      <c r="L202" s="2">
        <v>0</v>
      </c>
      <c r="M202" s="7">
        <f>(C202+H202)*E202*F202*G202*I202+J202+L202</f>
        <v>18.094999999999999</v>
      </c>
      <c r="N202" s="8">
        <f>((M202/1.2)-L202)*0.18</f>
        <v>2.7142499999999998</v>
      </c>
      <c r="O202" s="9">
        <v>0.4</v>
      </c>
      <c r="P202" s="8">
        <f>(((1-O202)*C202)/1.23)*F202+D202+N202</f>
        <v>13.406932926829269</v>
      </c>
      <c r="Q202" s="36">
        <f>(M202/1.2-P202)/(M202/1.2)</f>
        <v>0.11089695981237228</v>
      </c>
    </row>
    <row r="203" spans="2:17" ht="14.45" customHeight="1" x14ac:dyDescent="0.25">
      <c r="B203" s="123"/>
      <c r="C203" s="34">
        <v>100</v>
      </c>
      <c r="D203" s="2">
        <v>6.4</v>
      </c>
      <c r="E203" s="2">
        <v>1.012</v>
      </c>
      <c r="F203" s="2">
        <v>0.22</v>
      </c>
      <c r="G203" s="2">
        <v>1</v>
      </c>
      <c r="H203" s="2">
        <v>30</v>
      </c>
      <c r="I203" s="2">
        <v>1</v>
      </c>
      <c r="J203" s="2">
        <v>0</v>
      </c>
      <c r="K203" s="6">
        <v>0.18</v>
      </c>
      <c r="L203" s="2">
        <v>0</v>
      </c>
      <c r="M203" s="7">
        <f>(C203+H203)*E203*F203*G203*I203+J203+L203</f>
        <v>28.943200000000001</v>
      </c>
      <c r="N203" s="8">
        <f>((M203/1.2)-L203)*0.18</f>
        <v>4.3414799999999998</v>
      </c>
      <c r="O203" s="9">
        <v>0.4</v>
      </c>
      <c r="P203" s="8">
        <f>(((1-O203)*C203)/1.23)*F203+D203+N203</f>
        <v>21.473187317073172</v>
      </c>
      <c r="Q203" s="36">
        <f>(M203/1.2-P203)/(M203/1.2)</f>
        <v>0.10971057863374448</v>
      </c>
    </row>
    <row r="204" spans="2:17" ht="14.45" customHeight="1" x14ac:dyDescent="0.25">
      <c r="B204" s="123"/>
      <c r="C204" s="34">
        <v>200</v>
      </c>
      <c r="D204" s="2">
        <v>6.4</v>
      </c>
      <c r="E204" s="2">
        <v>0.92500000000000004</v>
      </c>
      <c r="F204" s="2">
        <v>0.22</v>
      </c>
      <c r="G204" s="2">
        <v>1</v>
      </c>
      <c r="H204" s="2">
        <v>30</v>
      </c>
      <c r="I204" s="2">
        <v>1</v>
      </c>
      <c r="J204" s="2">
        <v>0</v>
      </c>
      <c r="K204" s="6">
        <v>0.18</v>
      </c>
      <c r="L204" s="2">
        <v>0</v>
      </c>
      <c r="M204" s="7">
        <f>(C204+H204)*E204*F204*G204*I204+J204+L204</f>
        <v>46.805</v>
      </c>
      <c r="N204" s="8">
        <f>((M204/1.2)-L204)*0.18</f>
        <v>7.0207500000000005</v>
      </c>
      <c r="O204" s="9">
        <v>0.4</v>
      </c>
      <c r="P204" s="8">
        <f>(((1-O204)*C204)/1.23)*F204+D204+N204</f>
        <v>34.884164634146344</v>
      </c>
      <c r="Q204" s="36">
        <f>(M204/1.2-P204)/(M204/1.2)</f>
        <v>0.10562979252268753</v>
      </c>
    </row>
    <row r="205" spans="2:17" ht="14.45" customHeight="1" x14ac:dyDescent="0.25">
      <c r="B205" s="123"/>
      <c r="C205" s="34">
        <v>350</v>
      </c>
      <c r="D205" s="2">
        <v>6.4</v>
      </c>
      <c r="E205" s="2">
        <v>0.88</v>
      </c>
      <c r="F205" s="2">
        <v>0.22</v>
      </c>
      <c r="G205" s="2">
        <v>1</v>
      </c>
      <c r="H205" s="2">
        <v>30</v>
      </c>
      <c r="I205" s="2">
        <v>1</v>
      </c>
      <c r="J205" s="2">
        <v>0</v>
      </c>
      <c r="K205" s="6">
        <v>0.18</v>
      </c>
      <c r="L205" s="2">
        <v>0</v>
      </c>
      <c r="M205" s="7">
        <f>(C205+H205)*E205*F205*G205*I205+J205+L205</f>
        <v>73.567999999999998</v>
      </c>
      <c r="N205" s="8">
        <f>((M205/1.2)-L205)*0.18</f>
        <v>11.0352</v>
      </c>
      <c r="O205" s="9">
        <v>0.4</v>
      </c>
      <c r="P205" s="8">
        <f>(((1-O205)*C205)/1.23)*F205+D205+N205</f>
        <v>54.996175609756094</v>
      </c>
      <c r="Q205" s="36">
        <f>(M205/1.2-P205)/(M205/1.2)</f>
        <v>0.10293319470819766</v>
      </c>
    </row>
    <row r="206" spans="2:17" ht="14.45" customHeight="1" x14ac:dyDescent="0.25">
      <c r="B206" s="123"/>
      <c r="C206" s="34">
        <v>400</v>
      </c>
      <c r="D206" s="2">
        <v>6.4</v>
      </c>
      <c r="E206" s="2">
        <v>0.87</v>
      </c>
      <c r="F206" s="2">
        <v>0.22</v>
      </c>
      <c r="G206" s="2">
        <v>1</v>
      </c>
      <c r="H206" s="2">
        <v>30</v>
      </c>
      <c r="I206" s="2">
        <v>1</v>
      </c>
      <c r="J206" s="2">
        <v>0</v>
      </c>
      <c r="K206" s="6">
        <v>0.18</v>
      </c>
      <c r="L206" s="2">
        <v>0</v>
      </c>
      <c r="M206" s="7">
        <f>(C206+H206)*E206*F206*G206*I206+J206+L206</f>
        <v>82.302000000000007</v>
      </c>
      <c r="N206" s="8">
        <f>((M206/1.2)-L206)*0.18</f>
        <v>12.345300000000002</v>
      </c>
      <c r="O206" s="9">
        <v>0.4</v>
      </c>
      <c r="P206" s="8">
        <f>(((1-O206)*C206)/1.23)*F206+D206+N206</f>
        <v>61.672129268292686</v>
      </c>
      <c r="Q206" s="36">
        <f>(M206/1.2-P206)/(M206/1.2)</f>
        <v>0.10079274960570564</v>
      </c>
    </row>
    <row r="207" spans="2:17" ht="14.45" customHeight="1" x14ac:dyDescent="0.25">
      <c r="B207" s="123"/>
      <c r="Q207" s="18"/>
    </row>
    <row r="208" spans="2:17" ht="14.45" customHeight="1" x14ac:dyDescent="0.25">
      <c r="B208" s="123"/>
      <c r="Q208" s="18"/>
    </row>
    <row r="209" spans="2:17" ht="14.45" customHeight="1" x14ac:dyDescent="0.3">
      <c r="B209" s="123"/>
      <c r="C209" s="134" t="s">
        <v>17</v>
      </c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6"/>
    </row>
    <row r="210" spans="2:17" ht="14.45" customHeight="1" x14ac:dyDescent="0.25">
      <c r="B210" s="123"/>
      <c r="C210" s="1" t="s">
        <v>19</v>
      </c>
      <c r="D210" s="2" t="s">
        <v>2</v>
      </c>
      <c r="E210" s="2" t="s">
        <v>3</v>
      </c>
      <c r="F210" s="2" t="s">
        <v>4</v>
      </c>
      <c r="G210" s="2" t="s">
        <v>5</v>
      </c>
      <c r="H210" s="2" t="s">
        <v>6</v>
      </c>
      <c r="I210" s="2" t="s">
        <v>7</v>
      </c>
      <c r="J210" s="2" t="s">
        <v>8</v>
      </c>
      <c r="K210" s="2" t="s">
        <v>9</v>
      </c>
      <c r="L210" s="2" t="s">
        <v>10</v>
      </c>
      <c r="M210" s="2" t="s">
        <v>11</v>
      </c>
      <c r="N210" s="2" t="s">
        <v>12</v>
      </c>
      <c r="O210" s="2" t="s">
        <v>13</v>
      </c>
      <c r="P210" s="2" t="s">
        <v>14</v>
      </c>
      <c r="Q210" s="3" t="s">
        <v>15</v>
      </c>
    </row>
    <row r="211" spans="2:17" ht="14.45" customHeight="1" x14ac:dyDescent="0.25">
      <c r="B211" s="123"/>
      <c r="C211" s="34">
        <v>40</v>
      </c>
      <c r="D211" s="2">
        <v>4</v>
      </c>
      <c r="E211" s="2">
        <v>0.82599999999999996</v>
      </c>
      <c r="F211" s="2">
        <v>0.22</v>
      </c>
      <c r="G211" s="2">
        <v>1</v>
      </c>
      <c r="H211" s="2">
        <v>20</v>
      </c>
      <c r="I211" s="2">
        <v>1</v>
      </c>
      <c r="J211" s="2">
        <v>0</v>
      </c>
      <c r="K211" s="6">
        <v>0.18</v>
      </c>
      <c r="L211" s="2">
        <v>2.4</v>
      </c>
      <c r="M211" s="7">
        <f>(C211+H211)*E211*F211*G211*I211+J211+L211</f>
        <v>13.303199999999999</v>
      </c>
      <c r="N211" s="8">
        <f>((M211/1.2)-L211)*0.18</f>
        <v>1.5634799999999995</v>
      </c>
      <c r="O211" s="9">
        <v>0.4</v>
      </c>
      <c r="P211" s="8">
        <f>(((1-O211)*C211)/1.23)*F211+D211+N211</f>
        <v>9.8561629268292688</v>
      </c>
      <c r="Q211" s="36">
        <f>(M211/1.2-P211)/(M211/1.2)</f>
        <v>0.11093605206302813</v>
      </c>
    </row>
    <row r="212" spans="2:17" ht="14.45" customHeight="1" x14ac:dyDescent="0.25">
      <c r="B212" s="123"/>
      <c r="C212" s="34">
        <v>100</v>
      </c>
      <c r="D212" s="2">
        <v>4</v>
      </c>
      <c r="E212" s="2">
        <v>0.82399999999999995</v>
      </c>
      <c r="F212" s="2">
        <v>0.22</v>
      </c>
      <c r="G212" s="2">
        <v>1</v>
      </c>
      <c r="H212" s="2">
        <v>20</v>
      </c>
      <c r="I212" s="2">
        <v>1</v>
      </c>
      <c r="J212" s="2">
        <v>0</v>
      </c>
      <c r="K212" s="6">
        <v>0.18</v>
      </c>
      <c r="L212" s="2">
        <v>2.4</v>
      </c>
      <c r="M212" s="7">
        <f>(C212+H212)*E212*F212*G212*I212+J212+L212</f>
        <v>24.153599999999997</v>
      </c>
      <c r="N212" s="8">
        <f>((M212/1.2)-L212)*0.18</f>
        <v>3.1910400000000001</v>
      </c>
      <c r="O212" s="9">
        <v>0.4</v>
      </c>
      <c r="P212" s="8">
        <f>(((1-O212)*C212)/1.23)*F212+D212+N212</f>
        <v>17.922747317073171</v>
      </c>
      <c r="Q212" s="36">
        <f>(M212/1.2-P212)/(M212/1.2)</f>
        <v>0.10956144092442516</v>
      </c>
    </row>
    <row r="213" spans="2:17" ht="14.45" customHeight="1" x14ac:dyDescent="0.25">
      <c r="B213" s="123"/>
      <c r="C213" s="34">
        <v>200</v>
      </c>
      <c r="D213" s="2">
        <v>4</v>
      </c>
      <c r="E213" s="2">
        <v>0.82099999999999995</v>
      </c>
      <c r="F213" s="2">
        <v>0.22</v>
      </c>
      <c r="G213" s="2">
        <v>1</v>
      </c>
      <c r="H213" s="2">
        <v>20</v>
      </c>
      <c r="I213" s="2">
        <v>1</v>
      </c>
      <c r="J213" s="2">
        <v>0</v>
      </c>
      <c r="K213" s="6">
        <v>0.18</v>
      </c>
      <c r="L213" s="2">
        <v>2.4</v>
      </c>
      <c r="M213" s="7">
        <f>(C213+H213)*E213*F213*G213*I213+J213+L213</f>
        <v>42.136399999999995</v>
      </c>
      <c r="N213" s="8">
        <f>((M213/1.2)-L213)*0.18</f>
        <v>5.8884600000000002</v>
      </c>
      <c r="O213" s="9">
        <v>0.4</v>
      </c>
      <c r="P213" s="8">
        <f>(((1-O213)*C213)/1.23)*F213+D213+N213</f>
        <v>31.351874634146341</v>
      </c>
      <c r="Q213" s="36">
        <f>(M213/1.2-P213)/(M213/1.2)</f>
        <v>0.10713184892454958</v>
      </c>
    </row>
    <row r="214" spans="2:17" ht="14.45" customHeight="1" x14ac:dyDescent="0.25">
      <c r="B214" s="123"/>
      <c r="C214" s="34">
        <v>350</v>
      </c>
      <c r="D214" s="2">
        <v>4</v>
      </c>
      <c r="E214" s="2">
        <v>0.82</v>
      </c>
      <c r="F214" s="2">
        <v>0.22</v>
      </c>
      <c r="G214" s="2">
        <v>1</v>
      </c>
      <c r="H214" s="2">
        <v>20</v>
      </c>
      <c r="I214" s="2">
        <v>1</v>
      </c>
      <c r="J214" s="2">
        <v>0</v>
      </c>
      <c r="K214" s="6">
        <v>0.18</v>
      </c>
      <c r="L214" s="2">
        <v>2.4</v>
      </c>
      <c r="M214" s="7">
        <f>(C214+H214)*E214*F214*G214*I214+J214+L214</f>
        <v>69.147999999999996</v>
      </c>
      <c r="N214" s="8">
        <f>((M214/1.2)-L214)*0.18</f>
        <v>9.9402000000000008</v>
      </c>
      <c r="O214" s="9">
        <v>0.4</v>
      </c>
      <c r="P214" s="8">
        <f>(((1-O214)*C214)/1.23)*F214+D214+N214</f>
        <v>51.501175609756103</v>
      </c>
      <c r="Q214" s="36">
        <f>(M214/1.2-P214)/(M214/1.2)</f>
        <v>0.10624442165055645</v>
      </c>
    </row>
    <row r="215" spans="2:17" ht="14.45" customHeight="1" thickBot="1" x14ac:dyDescent="0.3">
      <c r="B215" s="124"/>
      <c r="C215" s="34">
        <v>400</v>
      </c>
      <c r="D215" s="2">
        <v>4</v>
      </c>
      <c r="E215" s="2">
        <v>0.81299999999999994</v>
      </c>
      <c r="F215" s="2">
        <v>0.22</v>
      </c>
      <c r="G215" s="2">
        <v>1</v>
      </c>
      <c r="H215" s="2">
        <v>20</v>
      </c>
      <c r="I215" s="2">
        <v>1</v>
      </c>
      <c r="J215" s="2">
        <v>0</v>
      </c>
      <c r="K215" s="6">
        <v>0.18</v>
      </c>
      <c r="L215" s="2">
        <v>2.4</v>
      </c>
      <c r="M215" s="7">
        <f>(C215+H215)*E215*F215*G215*I215+J215+L215</f>
        <v>77.521200000000007</v>
      </c>
      <c r="N215" s="8">
        <f>((M215/1.2)-L215)*0.18</f>
        <v>11.196180000000002</v>
      </c>
      <c r="O215" s="9">
        <v>0.4</v>
      </c>
      <c r="P215" s="8">
        <f>(((1-O215)*C215)/1.23)*F215+D215+N215</f>
        <v>58.123009268292691</v>
      </c>
      <c r="Q215" s="36">
        <f>(M215/1.2-P215)/(M215/1.2)</f>
        <v>0.1002769420242306</v>
      </c>
    </row>
    <row r="217" spans="2:17" ht="14.45" customHeight="1" thickBot="1" x14ac:dyDescent="0.3"/>
    <row r="218" spans="2:17" ht="14.45" customHeight="1" x14ac:dyDescent="0.3">
      <c r="B218" s="122" t="s">
        <v>30</v>
      </c>
      <c r="C218" s="131" t="s">
        <v>16</v>
      </c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3"/>
    </row>
    <row r="219" spans="2:17" ht="14.45" customHeight="1" x14ac:dyDescent="0.25">
      <c r="B219" s="123"/>
      <c r="C219" s="1" t="s">
        <v>1</v>
      </c>
      <c r="D219" s="2" t="s">
        <v>2</v>
      </c>
      <c r="E219" s="2" t="s">
        <v>3</v>
      </c>
      <c r="F219" s="2" t="s">
        <v>4</v>
      </c>
      <c r="G219" s="2" t="s">
        <v>5</v>
      </c>
      <c r="H219" s="2" t="s">
        <v>6</v>
      </c>
      <c r="I219" s="2" t="s">
        <v>7</v>
      </c>
      <c r="J219" s="2" t="s">
        <v>8</v>
      </c>
      <c r="K219" s="2" t="s">
        <v>9</v>
      </c>
      <c r="L219" s="2" t="s">
        <v>10</v>
      </c>
      <c r="M219" s="2" t="s">
        <v>11</v>
      </c>
      <c r="N219" s="2" t="s">
        <v>12</v>
      </c>
      <c r="O219" s="2" t="s">
        <v>13</v>
      </c>
      <c r="P219" s="2" t="s">
        <v>14</v>
      </c>
      <c r="Q219" s="3" t="s">
        <v>15</v>
      </c>
    </row>
    <row r="220" spans="2:17" ht="14.45" customHeight="1" x14ac:dyDescent="0.25">
      <c r="B220" s="123"/>
      <c r="C220" s="34">
        <v>31</v>
      </c>
      <c r="D220" s="2">
        <v>6.4</v>
      </c>
      <c r="E220" s="2">
        <v>1.355</v>
      </c>
      <c r="F220" s="2">
        <v>0.22</v>
      </c>
      <c r="G220" s="2">
        <v>1.23</v>
      </c>
      <c r="H220" s="2">
        <v>30</v>
      </c>
      <c r="I220" s="2">
        <v>1</v>
      </c>
      <c r="J220" s="2">
        <v>0</v>
      </c>
      <c r="K220" s="6">
        <v>0.18</v>
      </c>
      <c r="L220" s="2">
        <v>0</v>
      </c>
      <c r="M220" s="7">
        <f>(C220+H220)*E220*F220*G220*I220+J220+L220</f>
        <v>22.366443</v>
      </c>
      <c r="N220" s="8">
        <f>((M220/1.2)-L220)*0.18</f>
        <v>3.35496645</v>
      </c>
      <c r="O220" s="9">
        <v>0</v>
      </c>
      <c r="P220" s="8">
        <f>(1-O220)*C220*F220+D220+N220</f>
        <v>16.574966450000002</v>
      </c>
      <c r="Q220" s="36">
        <f>(M220/1.2-P220)/(M220/1.2)</f>
        <v>0.11072316058480998</v>
      </c>
    </row>
    <row r="221" spans="2:17" ht="14.45" customHeight="1" x14ac:dyDescent="0.25">
      <c r="B221" s="123"/>
      <c r="C221" s="34">
        <v>100</v>
      </c>
      <c r="D221" s="2">
        <v>6.4</v>
      </c>
      <c r="E221" s="2">
        <v>1.363</v>
      </c>
      <c r="F221" s="2">
        <v>0.22</v>
      </c>
      <c r="G221" s="2">
        <v>1.23</v>
      </c>
      <c r="H221" s="2">
        <v>30</v>
      </c>
      <c r="I221" s="2">
        <v>1</v>
      </c>
      <c r="J221" s="2">
        <v>0</v>
      </c>
      <c r="K221" s="6">
        <v>0.18</v>
      </c>
      <c r="L221" s="2">
        <v>0</v>
      </c>
      <c r="M221" s="7">
        <f>(C221+H221)*E221*F221*G221*I221+J221+L221</f>
        <v>47.947614000000002</v>
      </c>
      <c r="N221" s="8">
        <f>((M221/1.2)-L221)*0.18</f>
        <v>7.1921421000000008</v>
      </c>
      <c r="O221" s="9">
        <v>0</v>
      </c>
      <c r="P221" s="8">
        <f>(1-O221)*C221*F221+D221+N221</f>
        <v>35.592142099999997</v>
      </c>
      <c r="Q221" s="36">
        <f>(M221/1.2-P221)/(M221/1.2)</f>
        <v>0.10922427714546985</v>
      </c>
    </row>
    <row r="222" spans="2:17" ht="14.45" customHeight="1" x14ac:dyDescent="0.25">
      <c r="B222" s="123"/>
      <c r="C222" s="34">
        <v>200</v>
      </c>
      <c r="D222" s="2">
        <v>6.4</v>
      </c>
      <c r="E222" s="2">
        <v>1.355</v>
      </c>
      <c r="F222" s="2">
        <v>0.22</v>
      </c>
      <c r="G222" s="2">
        <v>1.23</v>
      </c>
      <c r="H222" s="2">
        <v>30</v>
      </c>
      <c r="I222" s="2">
        <v>1</v>
      </c>
      <c r="J222" s="2">
        <v>0</v>
      </c>
      <c r="K222" s="6">
        <v>0.18</v>
      </c>
      <c r="L222" s="2">
        <v>0</v>
      </c>
      <c r="M222" s="7">
        <f>(C222+H222)*E222*F222*G222*I222+J222+L222</f>
        <v>84.332490000000007</v>
      </c>
      <c r="N222" s="8">
        <f>((M222/1.2)-L222)*0.18</f>
        <v>12.649873500000002</v>
      </c>
      <c r="O222" s="9">
        <v>0</v>
      </c>
      <c r="P222" s="8">
        <f>(1-O222)*C222*F222+D222+N222</f>
        <v>63.049873500000004</v>
      </c>
      <c r="Q222" s="36">
        <f>(M222/1.2-P222)/(M222/1.2)</f>
        <v>0.10283867818915352</v>
      </c>
    </row>
    <row r="223" spans="2:17" ht="14.45" customHeight="1" x14ac:dyDescent="0.25">
      <c r="B223" s="123"/>
      <c r="C223" s="34">
        <v>300</v>
      </c>
      <c r="D223" s="2">
        <v>6.4</v>
      </c>
      <c r="E223" s="2">
        <v>1.35</v>
      </c>
      <c r="F223" s="2">
        <v>0.22</v>
      </c>
      <c r="G223" s="2">
        <v>1.23</v>
      </c>
      <c r="H223" s="2">
        <v>30</v>
      </c>
      <c r="I223" s="2">
        <v>1</v>
      </c>
      <c r="J223" s="2">
        <v>0</v>
      </c>
      <c r="K223" s="6">
        <v>0.18</v>
      </c>
      <c r="L223" s="2">
        <v>0</v>
      </c>
      <c r="M223" s="7">
        <f>(C223+H223)*E223*F223*G223*I223+J223+L223</f>
        <v>120.55230000000002</v>
      </c>
      <c r="N223" s="8">
        <f>((M223/1.2)-L223)*0.18</f>
        <v>18.082845000000002</v>
      </c>
      <c r="O223" s="9">
        <v>0</v>
      </c>
      <c r="P223" s="8">
        <f>(1-O223)*C223*F223+D223+N223</f>
        <v>90.482845000000012</v>
      </c>
      <c r="Q223" s="36">
        <f>(M223/1.2-P223)/(M223/1.2)</f>
        <v>9.9316943766315557E-2</v>
      </c>
    </row>
    <row r="224" spans="2:17" ht="14.45" customHeight="1" x14ac:dyDescent="0.25">
      <c r="B224" s="123"/>
      <c r="C224" s="34">
        <v>340</v>
      </c>
      <c r="D224" s="2">
        <v>6.4</v>
      </c>
      <c r="E224" s="2">
        <v>1.345</v>
      </c>
      <c r="F224" s="2">
        <v>0.22</v>
      </c>
      <c r="G224" s="2">
        <v>1.23</v>
      </c>
      <c r="H224" s="2">
        <v>30</v>
      </c>
      <c r="I224" s="2">
        <v>1</v>
      </c>
      <c r="J224" s="2">
        <v>0</v>
      </c>
      <c r="K224" s="6">
        <v>0.18</v>
      </c>
      <c r="L224" s="2">
        <v>0</v>
      </c>
      <c r="M224" s="7">
        <f>(C224+H224)*E224*F224*G224*I224+J224+L224</f>
        <v>134.66408999999999</v>
      </c>
      <c r="N224" s="8">
        <f>((M224/1.2)-L224)*0.18</f>
        <v>20.199613499999998</v>
      </c>
      <c r="O224" s="9">
        <v>0</v>
      </c>
      <c r="P224" s="8">
        <f>(1-O224)*C224*F224+D224+N224</f>
        <v>101.3996135</v>
      </c>
      <c r="Q224" s="36">
        <f>(M224/1.2-P224)/(M224/1.2)</f>
        <v>9.6421798862636604E-2</v>
      </c>
    </row>
    <row r="225" spans="2:17" ht="14.45" customHeight="1" x14ac:dyDescent="0.25">
      <c r="B225" s="123"/>
      <c r="Q225" s="18"/>
    </row>
    <row r="226" spans="2:17" ht="14.45" customHeight="1" x14ac:dyDescent="0.25">
      <c r="B226" s="123"/>
      <c r="Q226" s="18"/>
    </row>
    <row r="227" spans="2:17" ht="14.45" customHeight="1" x14ac:dyDescent="0.3">
      <c r="B227" s="123"/>
      <c r="C227" s="134" t="s">
        <v>17</v>
      </c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6"/>
    </row>
    <row r="228" spans="2:17" ht="14.45" customHeight="1" x14ac:dyDescent="0.25">
      <c r="B228" s="123"/>
      <c r="C228" s="1" t="s">
        <v>1</v>
      </c>
      <c r="D228" s="2" t="s">
        <v>2</v>
      </c>
      <c r="E228" s="2" t="s">
        <v>3</v>
      </c>
      <c r="F228" s="2" t="s">
        <v>4</v>
      </c>
      <c r="G228" s="2" t="s">
        <v>5</v>
      </c>
      <c r="H228" s="2" t="s">
        <v>6</v>
      </c>
      <c r="I228" s="2" t="s">
        <v>7</v>
      </c>
      <c r="J228" s="2" t="s">
        <v>8</v>
      </c>
      <c r="K228" s="2" t="s">
        <v>9</v>
      </c>
      <c r="L228" s="2" t="s">
        <v>10</v>
      </c>
      <c r="M228" s="2" t="s">
        <v>11</v>
      </c>
      <c r="N228" s="2" t="s">
        <v>12</v>
      </c>
      <c r="O228" s="2" t="s">
        <v>13</v>
      </c>
      <c r="P228" s="2" t="s">
        <v>14</v>
      </c>
      <c r="Q228" s="3" t="s">
        <v>15</v>
      </c>
    </row>
    <row r="229" spans="2:17" ht="14.45" customHeight="1" x14ac:dyDescent="0.25">
      <c r="B229" s="123"/>
      <c r="C229" s="34">
        <v>31</v>
      </c>
      <c r="D229" s="2">
        <v>4</v>
      </c>
      <c r="E229" s="2">
        <v>1.1000000000000001</v>
      </c>
      <c r="F229" s="2">
        <v>0.22</v>
      </c>
      <c r="G229" s="2">
        <v>1.23</v>
      </c>
      <c r="H229" s="2">
        <v>20</v>
      </c>
      <c r="I229" s="2">
        <v>1</v>
      </c>
      <c r="J229" s="2">
        <v>0</v>
      </c>
      <c r="K229" s="6">
        <v>0.18</v>
      </c>
      <c r="L229" s="2">
        <v>2.4</v>
      </c>
      <c r="M229" s="7">
        <f>(C229+H229)*E229*F229*G229*I229+J229+L229</f>
        <v>17.580659999999998</v>
      </c>
      <c r="N229" s="8">
        <f>((M229/1.2)-L229)*0.18</f>
        <v>2.2050989999999997</v>
      </c>
      <c r="O229" s="9">
        <v>0</v>
      </c>
      <c r="P229" s="8">
        <f>(1-O229)*C229*F229+D229+N229</f>
        <v>13.025099000000001</v>
      </c>
      <c r="Q229" s="36">
        <f>(M229/1.2-P229)/(M229/1.2)</f>
        <v>0.11094812140158548</v>
      </c>
    </row>
    <row r="230" spans="2:17" ht="14.45" customHeight="1" x14ac:dyDescent="0.25">
      <c r="B230" s="123"/>
      <c r="C230" s="34">
        <v>100</v>
      </c>
      <c r="D230" s="2">
        <v>4</v>
      </c>
      <c r="E230" s="2">
        <v>1.256</v>
      </c>
      <c r="F230" s="2">
        <v>0.22</v>
      </c>
      <c r="G230" s="2">
        <v>1.23</v>
      </c>
      <c r="H230" s="2">
        <v>20</v>
      </c>
      <c r="I230" s="2">
        <v>1</v>
      </c>
      <c r="J230" s="2">
        <v>0</v>
      </c>
      <c r="K230" s="6">
        <v>0.18</v>
      </c>
      <c r="L230" s="2">
        <v>2.4</v>
      </c>
      <c r="M230" s="7">
        <f>(C230+H230)*E230*F230*G230*I230+J230+L230</f>
        <v>43.184832</v>
      </c>
      <c r="N230" s="8">
        <f>((M230/1.2)-L230)*0.18</f>
        <v>6.0457248000000003</v>
      </c>
      <c r="O230" s="9">
        <v>0</v>
      </c>
      <c r="P230" s="8">
        <f>(1-O230)*C230*F230+D230+N230</f>
        <v>32.045724800000002</v>
      </c>
      <c r="Q230" s="36">
        <f>(M230/1.2-P230)/(M230/1.2)</f>
        <v>0.10952832327795092</v>
      </c>
    </row>
    <row r="231" spans="2:17" ht="14.45" customHeight="1" x14ac:dyDescent="0.25">
      <c r="B231" s="123"/>
      <c r="C231" s="34">
        <v>200</v>
      </c>
      <c r="D231" s="2">
        <v>4</v>
      </c>
      <c r="E231" s="2">
        <v>1.3</v>
      </c>
      <c r="F231" s="2">
        <v>0.22</v>
      </c>
      <c r="G231" s="2">
        <v>1.23</v>
      </c>
      <c r="H231" s="2">
        <v>20</v>
      </c>
      <c r="I231" s="2">
        <v>1</v>
      </c>
      <c r="J231" s="2">
        <v>0</v>
      </c>
      <c r="K231" s="6">
        <v>0.18</v>
      </c>
      <c r="L231" s="2">
        <v>2.4</v>
      </c>
      <c r="M231" s="7">
        <f>(C231+H231)*E231*F231*G231*I231+J231+L231</f>
        <v>79.791600000000003</v>
      </c>
      <c r="N231" s="8">
        <f>((M231/1.2)-L231)*0.18</f>
        <v>11.53674</v>
      </c>
      <c r="O231" s="9">
        <v>0</v>
      </c>
      <c r="P231" s="8">
        <f>(1-O231)*C231*F231+D231+N231</f>
        <v>59.536740000000002</v>
      </c>
      <c r="Q231" s="36">
        <f>(M231/1.2-P231)/(M231/1.2)</f>
        <v>0.10461642578918091</v>
      </c>
    </row>
    <row r="232" spans="2:17" ht="14.45" customHeight="1" x14ac:dyDescent="0.25">
      <c r="B232" s="123"/>
      <c r="C232" s="34">
        <v>300</v>
      </c>
      <c r="D232" s="2">
        <v>4</v>
      </c>
      <c r="E232" s="2">
        <v>1.31</v>
      </c>
      <c r="F232" s="2">
        <v>0.22</v>
      </c>
      <c r="G232" s="2">
        <v>1.23</v>
      </c>
      <c r="H232" s="2">
        <v>20</v>
      </c>
      <c r="I232" s="2">
        <v>1</v>
      </c>
      <c r="J232" s="2">
        <v>0</v>
      </c>
      <c r="K232" s="6">
        <v>0.18</v>
      </c>
      <c r="L232" s="2">
        <v>2.4</v>
      </c>
      <c r="M232" s="7">
        <f>(C232+H232)*E232*F232*G232*I232+J232+L232</f>
        <v>115.83552</v>
      </c>
      <c r="N232" s="8">
        <f>((M232/1.2)-L232)*0.18</f>
        <v>16.943327999999998</v>
      </c>
      <c r="O232" s="9">
        <v>0</v>
      </c>
      <c r="P232" s="8">
        <f>(1-O232)*C232*F232+D232+N232</f>
        <v>86.943327999999994</v>
      </c>
      <c r="Q232" s="36">
        <f>(M232/1.2-P232)/(M232/1.2)</f>
        <v>9.930914455255184E-2</v>
      </c>
    </row>
    <row r="233" spans="2:17" ht="14.45" customHeight="1" thickBot="1" x14ac:dyDescent="0.3">
      <c r="B233" s="124"/>
      <c r="C233" s="34">
        <v>340</v>
      </c>
      <c r="D233" s="2">
        <v>4</v>
      </c>
      <c r="E233" s="2">
        <v>1.31</v>
      </c>
      <c r="F233" s="2">
        <v>0.22</v>
      </c>
      <c r="G233" s="2">
        <v>1.23</v>
      </c>
      <c r="H233" s="2">
        <v>20</v>
      </c>
      <c r="I233" s="2">
        <v>1</v>
      </c>
      <c r="J233" s="2">
        <v>0</v>
      </c>
      <c r="K233" s="6">
        <v>0.18</v>
      </c>
      <c r="L233" s="2">
        <v>2.4</v>
      </c>
      <c r="M233" s="7">
        <f>(C233+H233)*E233*F233*G233*I233+J233+L233</f>
        <v>130.01496</v>
      </c>
      <c r="N233" s="8">
        <f>((M233/1.2)-L233)*0.18</f>
        <v>19.070243999999999</v>
      </c>
      <c r="O233" s="9">
        <v>0</v>
      </c>
      <c r="P233" s="8">
        <f>(1-O233)*C233*F233+D233+N233</f>
        <v>97.870244</v>
      </c>
      <c r="Q233" s="36">
        <f>(M233/1.2-P233)/(M233/1.2)</f>
        <v>9.668631363652315E-2</v>
      </c>
    </row>
    <row r="235" spans="2:17" ht="14.45" customHeight="1" thickBot="1" x14ac:dyDescent="0.3"/>
    <row r="236" spans="2:17" ht="14.45" customHeight="1" x14ac:dyDescent="0.3">
      <c r="B236" s="122" t="s">
        <v>31</v>
      </c>
      <c r="C236" s="131" t="s">
        <v>16</v>
      </c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3"/>
    </row>
    <row r="237" spans="2:17" ht="14.45" customHeight="1" x14ac:dyDescent="0.25">
      <c r="B237" s="123"/>
      <c r="C237" s="1" t="s">
        <v>1</v>
      </c>
      <c r="D237" s="2" t="s">
        <v>2</v>
      </c>
      <c r="E237" s="2" t="s">
        <v>3</v>
      </c>
      <c r="F237" s="2" t="s">
        <v>4</v>
      </c>
      <c r="G237" s="2" t="s">
        <v>5</v>
      </c>
      <c r="H237" s="2" t="s">
        <v>6</v>
      </c>
      <c r="I237" s="2" t="s">
        <v>7</v>
      </c>
      <c r="J237" s="2" t="s">
        <v>8</v>
      </c>
      <c r="K237" s="2" t="s">
        <v>9</v>
      </c>
      <c r="L237" s="2" t="s">
        <v>10</v>
      </c>
      <c r="M237" s="2" t="s">
        <v>11</v>
      </c>
      <c r="N237" s="2" t="s">
        <v>12</v>
      </c>
      <c r="O237" s="2" t="s">
        <v>13</v>
      </c>
      <c r="P237" s="2" t="s">
        <v>14</v>
      </c>
      <c r="Q237" s="3" t="s">
        <v>15</v>
      </c>
    </row>
    <row r="238" spans="2:17" ht="14.45" customHeight="1" x14ac:dyDescent="0.25">
      <c r="B238" s="123"/>
      <c r="C238" s="34">
        <v>15</v>
      </c>
      <c r="D238" s="2">
        <v>6.4</v>
      </c>
      <c r="E238" s="2">
        <v>1.355</v>
      </c>
      <c r="F238" s="2">
        <v>0.22</v>
      </c>
      <c r="G238" s="2">
        <v>1.23</v>
      </c>
      <c r="H238" s="2">
        <v>30</v>
      </c>
      <c r="I238" s="2">
        <v>1</v>
      </c>
      <c r="J238" s="2">
        <v>0</v>
      </c>
      <c r="K238" s="6">
        <v>0.18</v>
      </c>
      <c r="L238" s="2">
        <v>0</v>
      </c>
      <c r="M238" s="7">
        <f>(C238+H238)*E238*F238*G238*I238+J238+L238</f>
        <v>16.499835000000001</v>
      </c>
      <c r="N238" s="8">
        <f>((M238/1.2)-L238)*0.18</f>
        <v>2.47497525</v>
      </c>
      <c r="O238" s="9">
        <v>0</v>
      </c>
      <c r="P238" s="8">
        <f>(1-O238)*C238*F238+D238+N238</f>
        <v>12.174975249999999</v>
      </c>
      <c r="Q238" s="36">
        <f>(M238/1.2-P238)/(M238/1.2)</f>
        <v>0.11453839992945394</v>
      </c>
    </row>
    <row r="239" spans="2:17" ht="14.45" customHeight="1" x14ac:dyDescent="0.25">
      <c r="B239" s="123"/>
      <c r="C239" s="34">
        <v>25</v>
      </c>
      <c r="D239" s="2">
        <v>6.4</v>
      </c>
      <c r="E239" s="2">
        <v>1.363</v>
      </c>
      <c r="F239" s="2">
        <v>0.22</v>
      </c>
      <c r="G239" s="2">
        <v>1.23</v>
      </c>
      <c r="H239" s="2">
        <v>30</v>
      </c>
      <c r="I239" s="2">
        <v>1</v>
      </c>
      <c r="J239" s="2">
        <v>0</v>
      </c>
      <c r="K239" s="6">
        <v>0.18</v>
      </c>
      <c r="L239" s="2">
        <v>0</v>
      </c>
      <c r="M239" s="7">
        <f>(C239+H239)*E239*F239*G239*I239+J239+L239</f>
        <v>20.285529</v>
      </c>
      <c r="N239" s="8">
        <f>((M239/1.2)-L239)*0.18</f>
        <v>3.0428293499999999</v>
      </c>
      <c r="O239" s="9">
        <v>0</v>
      </c>
      <c r="P239" s="8">
        <f>(1-O239)*C239*F239+D239+N239</f>
        <v>14.94282935</v>
      </c>
      <c r="Q239" s="36">
        <f>(M239/1.2-P239)/(M239/1.2)</f>
        <v>0.11604990828683839</v>
      </c>
    </row>
    <row r="240" spans="2:17" ht="14.45" customHeight="1" x14ac:dyDescent="0.25">
      <c r="B240" s="123"/>
      <c r="C240" s="34">
        <v>45</v>
      </c>
      <c r="D240" s="2">
        <v>6.4</v>
      </c>
      <c r="E240" s="2">
        <v>1.355</v>
      </c>
      <c r="F240" s="2">
        <v>0.22</v>
      </c>
      <c r="G240" s="2">
        <v>1.23</v>
      </c>
      <c r="H240" s="2">
        <v>30</v>
      </c>
      <c r="I240" s="2">
        <v>1</v>
      </c>
      <c r="J240" s="2">
        <v>0</v>
      </c>
      <c r="K240" s="6">
        <v>0.18</v>
      </c>
      <c r="L240" s="2">
        <v>0</v>
      </c>
      <c r="M240" s="7">
        <f>(C240+H240)*E240*F240*G240*I240+J240+L240</f>
        <v>27.499725000000002</v>
      </c>
      <c r="N240" s="8">
        <f>((M240/1.2)-L240)*0.18</f>
        <v>4.1249587500000002</v>
      </c>
      <c r="O240" s="9">
        <v>0</v>
      </c>
      <c r="P240" s="8">
        <f>(1-O240)*C240*F240+D240+N240</f>
        <v>20.424958750000002</v>
      </c>
      <c r="Q240" s="36">
        <f>(M240/1.2-P240)/(M240/1.2)</f>
        <v>0.10872015992887196</v>
      </c>
    </row>
    <row r="241" spans="2:17" ht="14.45" customHeight="1" x14ac:dyDescent="0.25">
      <c r="B241" s="123"/>
      <c r="C241" s="34">
        <v>70</v>
      </c>
      <c r="D241" s="2">
        <v>6.4</v>
      </c>
      <c r="E241" s="2">
        <v>1.35</v>
      </c>
      <c r="F241" s="2">
        <v>0.22</v>
      </c>
      <c r="G241" s="2">
        <v>1.23</v>
      </c>
      <c r="H241" s="2">
        <v>30</v>
      </c>
      <c r="I241" s="2">
        <v>1</v>
      </c>
      <c r="J241" s="2">
        <v>0</v>
      </c>
      <c r="K241" s="6">
        <v>0.18</v>
      </c>
      <c r="L241" s="2">
        <v>0</v>
      </c>
      <c r="M241" s="7">
        <f>(C241+H241)*E241*F241*G241*I241+J241+L241</f>
        <v>36.530999999999999</v>
      </c>
      <c r="N241" s="8">
        <f>((M241/1.2)-L241)*0.18</f>
        <v>5.4796499999999995</v>
      </c>
      <c r="O241" s="9">
        <v>0</v>
      </c>
      <c r="P241" s="8">
        <f>(1-O241)*C241*F241+D241+N241</f>
        <v>27.27965</v>
      </c>
      <c r="Q241" s="36">
        <f>(M241/1.2-P241)/(M241/1.2)</f>
        <v>0.10389586926172288</v>
      </c>
    </row>
    <row r="242" spans="2:17" ht="14.45" customHeight="1" x14ac:dyDescent="0.25">
      <c r="B242" s="123"/>
      <c r="C242" s="34">
        <v>70.400000000000006</v>
      </c>
      <c r="D242" s="2">
        <v>6.4</v>
      </c>
      <c r="E242" s="2">
        <v>1.345</v>
      </c>
      <c r="F242" s="2">
        <v>0.22</v>
      </c>
      <c r="G242" s="2">
        <v>1.23</v>
      </c>
      <c r="H242" s="2">
        <v>30</v>
      </c>
      <c r="I242" s="2">
        <v>1</v>
      </c>
      <c r="J242" s="2">
        <v>0</v>
      </c>
      <c r="K242" s="6">
        <v>0.18</v>
      </c>
      <c r="L242" s="2">
        <v>0</v>
      </c>
      <c r="M242" s="7">
        <f>(C242+H242)*E242*F242*G242*I242+J242+L242</f>
        <v>36.541282800000005</v>
      </c>
      <c r="N242" s="8">
        <f>((M242/1.2)-L242)*0.18</f>
        <v>5.4811924200000002</v>
      </c>
      <c r="O242" s="9">
        <v>0</v>
      </c>
      <c r="P242" s="8">
        <f>(1-O242)*C242*F242+D242+N242</f>
        <v>27.369192420000001</v>
      </c>
      <c r="Q242" s="36">
        <f>(M242/1.2-P242)/(M242/1.2)</f>
        <v>0.10120750046574728</v>
      </c>
    </row>
    <row r="243" spans="2:17" ht="14.45" customHeight="1" x14ac:dyDescent="0.25">
      <c r="B243" s="123"/>
      <c r="Q243" s="18"/>
    </row>
    <row r="244" spans="2:17" ht="14.45" customHeight="1" x14ac:dyDescent="0.25">
      <c r="B244" s="123"/>
      <c r="Q244" s="18"/>
    </row>
    <row r="245" spans="2:17" ht="14.45" customHeight="1" x14ac:dyDescent="0.3">
      <c r="B245" s="123"/>
      <c r="C245" s="134" t="s">
        <v>17</v>
      </c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6"/>
    </row>
    <row r="246" spans="2:17" ht="14.45" customHeight="1" x14ac:dyDescent="0.25">
      <c r="B246" s="123"/>
      <c r="C246" s="1" t="s">
        <v>1</v>
      </c>
      <c r="D246" s="2" t="s">
        <v>2</v>
      </c>
      <c r="E246" s="2" t="s">
        <v>3</v>
      </c>
      <c r="F246" s="2" t="s">
        <v>4</v>
      </c>
      <c r="G246" s="2" t="s">
        <v>5</v>
      </c>
      <c r="H246" s="2" t="s">
        <v>6</v>
      </c>
      <c r="I246" s="2" t="s">
        <v>7</v>
      </c>
      <c r="J246" s="2" t="s">
        <v>8</v>
      </c>
      <c r="K246" s="2" t="s">
        <v>9</v>
      </c>
      <c r="L246" s="2" t="s">
        <v>10</v>
      </c>
      <c r="M246" s="2" t="s">
        <v>11</v>
      </c>
      <c r="N246" s="2" t="s">
        <v>12</v>
      </c>
      <c r="O246" s="2" t="s">
        <v>13</v>
      </c>
      <c r="P246" s="2" t="s">
        <v>14</v>
      </c>
      <c r="Q246" s="3" t="s">
        <v>15</v>
      </c>
    </row>
    <row r="247" spans="2:17" ht="14.45" customHeight="1" x14ac:dyDescent="0.25">
      <c r="B247" s="123"/>
      <c r="C247" s="34">
        <v>15</v>
      </c>
      <c r="D247" s="2">
        <v>4</v>
      </c>
      <c r="E247" s="2">
        <v>0.97499999999999998</v>
      </c>
      <c r="F247" s="2">
        <v>0.22</v>
      </c>
      <c r="G247" s="2">
        <v>1.23</v>
      </c>
      <c r="H247" s="2">
        <v>20</v>
      </c>
      <c r="I247" s="2">
        <v>1</v>
      </c>
      <c r="J247" s="2">
        <v>0</v>
      </c>
      <c r="K247" s="6">
        <v>0.18</v>
      </c>
      <c r="L247" s="2">
        <v>2.4</v>
      </c>
      <c r="M247" s="7">
        <f>(C247+H247)*E247*F247*G247*I247+J247+L247</f>
        <v>11.634225000000001</v>
      </c>
      <c r="N247" s="8">
        <f>((M247/1.2)-L247)*0.18</f>
        <v>1.3131337500000002</v>
      </c>
      <c r="O247" s="9">
        <v>0</v>
      </c>
      <c r="P247" s="8">
        <f>(1-O247)*C247*F247+D247+N247</f>
        <v>8.6131337499999994</v>
      </c>
      <c r="Q247" s="36">
        <f>(M247/1.2-P247)/(M247/1.2)</f>
        <v>0.11160730517073565</v>
      </c>
    </row>
    <row r="248" spans="2:17" ht="14.45" customHeight="1" x14ac:dyDescent="0.25">
      <c r="B248" s="123"/>
      <c r="C248" s="34">
        <v>25</v>
      </c>
      <c r="D248" s="2">
        <v>4</v>
      </c>
      <c r="E248" s="2">
        <v>1.06</v>
      </c>
      <c r="F248" s="2">
        <v>0.22</v>
      </c>
      <c r="G248" s="2">
        <v>1.23</v>
      </c>
      <c r="H248" s="2">
        <v>20</v>
      </c>
      <c r="I248" s="2">
        <v>1</v>
      </c>
      <c r="J248" s="2">
        <v>0</v>
      </c>
      <c r="K248" s="6">
        <v>0.18</v>
      </c>
      <c r="L248" s="2">
        <v>2.4</v>
      </c>
      <c r="M248" s="7">
        <f>(C248+H248)*E248*F248*G248*I248+J248+L248</f>
        <v>15.307620000000002</v>
      </c>
      <c r="N248" s="8">
        <f>((M248/1.2)-L248)*0.18</f>
        <v>1.8641430000000001</v>
      </c>
      <c r="O248" s="9">
        <v>0</v>
      </c>
      <c r="P248" s="8">
        <f>(1-O248)*C248*F248+D248+N248</f>
        <v>11.364143</v>
      </c>
      <c r="Q248" s="36">
        <f>(M248/1.2-P248)/(M248/1.2)</f>
        <v>0.10913835070376721</v>
      </c>
    </row>
    <row r="249" spans="2:17" ht="14.45" customHeight="1" x14ac:dyDescent="0.25">
      <c r="B249" s="123"/>
      <c r="C249" s="34">
        <v>45</v>
      </c>
      <c r="D249" s="2">
        <v>4</v>
      </c>
      <c r="E249" s="2">
        <v>1.1519999999999999</v>
      </c>
      <c r="F249" s="2">
        <v>0.22</v>
      </c>
      <c r="G249" s="2">
        <v>1.23</v>
      </c>
      <c r="H249" s="2">
        <v>20</v>
      </c>
      <c r="I249" s="2">
        <v>1</v>
      </c>
      <c r="J249" s="2">
        <v>0</v>
      </c>
      <c r="K249" s="6">
        <v>0.18</v>
      </c>
      <c r="L249" s="2">
        <v>2.4</v>
      </c>
      <c r="M249" s="7">
        <f>(C249+H249)*E249*F249*G249*I249+J249+L249</f>
        <v>22.662527999999995</v>
      </c>
      <c r="N249" s="8">
        <f>((M249/1.2)-L249)*0.18</f>
        <v>2.9673791999999994</v>
      </c>
      <c r="O249" s="9">
        <v>0</v>
      </c>
      <c r="P249" s="8">
        <f>(1-O249)*C249*F249+D249+N249</f>
        <v>16.867379199999998</v>
      </c>
      <c r="Q249" s="36">
        <f>(M249/1.2-P249)/(M249/1.2)</f>
        <v>0.10685802395919806</v>
      </c>
    </row>
    <row r="250" spans="2:17" ht="14.45" customHeight="1" x14ac:dyDescent="0.25">
      <c r="B250" s="123"/>
      <c r="C250" s="34">
        <v>70</v>
      </c>
      <c r="D250" s="2">
        <v>4</v>
      </c>
      <c r="E250" s="2">
        <v>1.2030000000000001</v>
      </c>
      <c r="F250" s="2">
        <v>0.22</v>
      </c>
      <c r="G250" s="2">
        <v>1.23</v>
      </c>
      <c r="H250" s="2">
        <v>20</v>
      </c>
      <c r="I250" s="2">
        <v>1</v>
      </c>
      <c r="J250" s="2">
        <v>0</v>
      </c>
      <c r="K250" s="6">
        <v>0.18</v>
      </c>
      <c r="L250" s="2">
        <v>2.4</v>
      </c>
      <c r="M250" s="7">
        <f>(C250+H250)*E250*F250*G250*I250+J250+L250</f>
        <v>31.697862000000001</v>
      </c>
      <c r="N250" s="8">
        <f>((M250/1.2)-L250)*0.18</f>
        <v>4.3226793000000008</v>
      </c>
      <c r="O250" s="9">
        <v>0</v>
      </c>
      <c r="P250" s="8">
        <f>(1-O250)*C250*F250+D250+N250</f>
        <v>23.722679299999999</v>
      </c>
      <c r="Q250" s="36">
        <f>(M250/1.2-P250)/(M250/1.2)</f>
        <v>0.10192002350190062</v>
      </c>
    </row>
    <row r="251" spans="2:17" ht="14.45" customHeight="1" thickBot="1" x14ac:dyDescent="0.3">
      <c r="B251" s="124"/>
      <c r="C251" s="34">
        <v>70.400000000000006</v>
      </c>
      <c r="D251" s="2">
        <v>4</v>
      </c>
      <c r="E251" s="2">
        <v>1.2</v>
      </c>
      <c r="F251" s="2">
        <v>0.22</v>
      </c>
      <c r="G251" s="2">
        <v>1.23</v>
      </c>
      <c r="H251" s="2">
        <v>20</v>
      </c>
      <c r="I251" s="2">
        <v>1</v>
      </c>
      <c r="J251" s="2">
        <v>0</v>
      </c>
      <c r="K251" s="6">
        <v>0.18</v>
      </c>
      <c r="L251" s="2">
        <v>2.4</v>
      </c>
      <c r="M251" s="7">
        <f>(C251+H251)*E251*F251*G251*I251+J251+L251</f>
        <v>31.754687999999998</v>
      </c>
      <c r="N251" s="8">
        <f>((M251/1.2)-L251)*0.18</f>
        <v>4.3312032</v>
      </c>
      <c r="O251" s="9">
        <v>0</v>
      </c>
      <c r="P251" s="8">
        <f>(1-O251)*C251*F251+D251+N251</f>
        <v>23.8192032</v>
      </c>
      <c r="Q251" s="36">
        <f>(M251/1.2-P251)/(M251/1.2)</f>
        <v>9.9879556681520446E-2</v>
      </c>
    </row>
    <row r="253" spans="2:17" ht="14.45" customHeight="1" thickBot="1" x14ac:dyDescent="0.3"/>
    <row r="254" spans="2:17" ht="14.45" customHeight="1" x14ac:dyDescent="0.3">
      <c r="B254" s="122" t="s">
        <v>32</v>
      </c>
      <c r="C254" s="131" t="s">
        <v>16</v>
      </c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3"/>
    </row>
    <row r="255" spans="2:17" ht="14.45" customHeight="1" x14ac:dyDescent="0.25">
      <c r="B255" s="123"/>
      <c r="C255" s="1" t="s">
        <v>1</v>
      </c>
      <c r="D255" s="2" t="s">
        <v>2</v>
      </c>
      <c r="E255" s="2" t="s">
        <v>3</v>
      </c>
      <c r="F255" s="2" t="s">
        <v>4</v>
      </c>
      <c r="G255" s="2" t="s">
        <v>5</v>
      </c>
      <c r="H255" s="2" t="s">
        <v>6</v>
      </c>
      <c r="I255" s="2" t="s">
        <v>7</v>
      </c>
      <c r="J255" s="2" t="s">
        <v>8</v>
      </c>
      <c r="K255" s="2" t="s">
        <v>9</v>
      </c>
      <c r="L255" s="2" t="s">
        <v>10</v>
      </c>
      <c r="M255" s="2" t="s">
        <v>11</v>
      </c>
      <c r="N255" s="2" t="s">
        <v>12</v>
      </c>
      <c r="O255" s="2" t="s">
        <v>13</v>
      </c>
      <c r="P255" s="2" t="s">
        <v>14</v>
      </c>
      <c r="Q255" s="3" t="s">
        <v>15</v>
      </c>
    </row>
    <row r="256" spans="2:17" ht="14.45" customHeight="1" x14ac:dyDescent="0.25">
      <c r="B256" s="123"/>
      <c r="C256" s="34">
        <v>30</v>
      </c>
      <c r="D256" s="2">
        <v>6.4</v>
      </c>
      <c r="E256" s="2">
        <v>1.3560000000000001</v>
      </c>
      <c r="F256" s="2">
        <v>0.22</v>
      </c>
      <c r="G256" s="2">
        <v>1.23</v>
      </c>
      <c r="H256" s="2">
        <v>30</v>
      </c>
      <c r="I256" s="2">
        <v>1</v>
      </c>
      <c r="J256" s="2">
        <v>0</v>
      </c>
      <c r="K256" s="6">
        <v>0.18</v>
      </c>
      <c r="L256" s="2">
        <v>0</v>
      </c>
      <c r="M256" s="7">
        <f>(C256+H256)*E256*F256*G256*I256+J256+L256</f>
        <v>22.016016</v>
      </c>
      <c r="N256" s="8">
        <f>((M256/1.2)-L256)*0.18</f>
        <v>3.3024024000000005</v>
      </c>
      <c r="O256" s="9">
        <v>0</v>
      </c>
      <c r="P256" s="8">
        <f>(1-O256)*C256*F256+D256+N256</f>
        <v>16.302402400000002</v>
      </c>
      <c r="Q256" s="36">
        <f>(M256/1.2-P256)/(M256/1.2)</f>
        <v>0.11142493355746111</v>
      </c>
    </row>
    <row r="257" spans="2:17" ht="14.45" customHeight="1" x14ac:dyDescent="0.25">
      <c r="B257" s="123"/>
      <c r="C257" s="34">
        <v>60</v>
      </c>
      <c r="D257" s="2">
        <v>6.4</v>
      </c>
      <c r="E257" s="2">
        <v>1.36</v>
      </c>
      <c r="F257" s="2">
        <v>0.22</v>
      </c>
      <c r="G257" s="2">
        <v>1.23</v>
      </c>
      <c r="H257" s="2">
        <v>30</v>
      </c>
      <c r="I257" s="2">
        <v>1</v>
      </c>
      <c r="J257" s="2">
        <v>0</v>
      </c>
      <c r="K257" s="6">
        <v>0.18</v>
      </c>
      <c r="L257" s="2">
        <v>0</v>
      </c>
      <c r="M257" s="7">
        <f>(C257+H257)*E257*F257*G257*I257+J257+L257</f>
        <v>33.12144</v>
      </c>
      <c r="N257" s="8">
        <f>((M257/1.2)-L257)*0.18</f>
        <v>4.968216</v>
      </c>
      <c r="O257" s="9">
        <v>0</v>
      </c>
      <c r="P257" s="8">
        <f>(1-O257)*C257*F257+D257+N257</f>
        <v>24.568216</v>
      </c>
      <c r="Q257" s="36">
        <f>(M257/1.2-P257)/(M257/1.2)</f>
        <v>0.10988594698781221</v>
      </c>
    </row>
    <row r="258" spans="2:17" ht="14.45" customHeight="1" x14ac:dyDescent="0.25">
      <c r="B258" s="123"/>
      <c r="C258" s="34">
        <v>120</v>
      </c>
      <c r="D258" s="2">
        <v>6.4</v>
      </c>
      <c r="E258" s="2">
        <v>1.36</v>
      </c>
      <c r="F258" s="2">
        <v>0.22</v>
      </c>
      <c r="G258" s="2">
        <v>1.23</v>
      </c>
      <c r="H258" s="2">
        <v>30</v>
      </c>
      <c r="I258" s="2">
        <v>1</v>
      </c>
      <c r="J258" s="2">
        <v>0</v>
      </c>
      <c r="K258" s="6">
        <v>0.18</v>
      </c>
      <c r="L258" s="2">
        <v>0</v>
      </c>
      <c r="M258" s="7">
        <f>(C258+H258)*E258*F258*G258*I258+J258+L258</f>
        <v>55.202400000000011</v>
      </c>
      <c r="N258" s="8">
        <f>((M258/1.2)-L258)*0.18</f>
        <v>8.2803600000000017</v>
      </c>
      <c r="O258" s="9">
        <v>0</v>
      </c>
      <c r="P258" s="8">
        <f>(1-O258)*C258*F258+D258+N258</f>
        <v>41.080359999999999</v>
      </c>
      <c r="Q258" s="36">
        <f>(M258/1.2-P258)/(M258/1.2)</f>
        <v>0.10698752228164014</v>
      </c>
    </row>
    <row r="259" spans="2:17" ht="14.45" customHeight="1" x14ac:dyDescent="0.25">
      <c r="B259" s="123"/>
      <c r="C259" s="34">
        <v>350</v>
      </c>
      <c r="D259" s="2">
        <v>6.4</v>
      </c>
      <c r="E259" s="2">
        <v>1.36</v>
      </c>
      <c r="F259" s="2">
        <v>0.22</v>
      </c>
      <c r="G259" s="2">
        <v>1.23</v>
      </c>
      <c r="H259" s="2">
        <v>30</v>
      </c>
      <c r="I259" s="2">
        <v>1</v>
      </c>
      <c r="J259" s="2">
        <v>0</v>
      </c>
      <c r="K259" s="6">
        <v>0.18</v>
      </c>
      <c r="L259" s="2">
        <v>0</v>
      </c>
      <c r="M259" s="7">
        <f>(C259+H259)*E259*F259*G259*I259+J259+L259</f>
        <v>139.84608</v>
      </c>
      <c r="N259" s="8">
        <f>((M259/1.2)-L259)*0.18</f>
        <v>20.976912000000002</v>
      </c>
      <c r="O259" s="9">
        <v>0</v>
      </c>
      <c r="P259" s="8">
        <f>(1-O259)*C259*F259+D259+N259</f>
        <v>104.376912</v>
      </c>
      <c r="Q259" s="36">
        <f>(M259/1.2-P259)/(M259/1.2)</f>
        <v>0.10435605774577311</v>
      </c>
    </row>
    <row r="260" spans="2:17" ht="14.45" customHeight="1" x14ac:dyDescent="0.25">
      <c r="B260" s="123"/>
      <c r="C260" s="34">
        <v>500</v>
      </c>
      <c r="D260" s="2">
        <v>6.4</v>
      </c>
      <c r="E260" s="2">
        <v>1.357</v>
      </c>
      <c r="F260" s="2">
        <v>0.22</v>
      </c>
      <c r="G260" s="2">
        <v>1.23</v>
      </c>
      <c r="H260" s="2">
        <v>30</v>
      </c>
      <c r="I260" s="2">
        <v>1</v>
      </c>
      <c r="J260" s="2">
        <v>0</v>
      </c>
      <c r="K260" s="6">
        <v>0.18</v>
      </c>
      <c r="L260" s="2">
        <v>0</v>
      </c>
      <c r="M260" s="7">
        <f>(C260+H260)*E260*F260*G260*I260+J260+L260</f>
        <v>194.61822599999999</v>
      </c>
      <c r="N260" s="8">
        <f>((M260/1.2)-L260)*0.18</f>
        <v>29.1927339</v>
      </c>
      <c r="O260" s="9">
        <v>0</v>
      </c>
      <c r="P260" s="8">
        <f>(1-O260)*C260*F260+D260+N260</f>
        <v>145.59273390000001</v>
      </c>
      <c r="Q260" s="36">
        <f>(M260/1.2-P260)/(M260/1.2)</f>
        <v>0.10228715844938387</v>
      </c>
    </row>
    <row r="261" spans="2:17" ht="14.45" customHeight="1" x14ac:dyDescent="0.25">
      <c r="B261" s="123"/>
      <c r="Q261" s="18"/>
    </row>
    <row r="262" spans="2:17" ht="14.45" customHeight="1" x14ac:dyDescent="0.25">
      <c r="B262" s="123"/>
      <c r="Q262" s="18"/>
    </row>
    <row r="263" spans="2:17" ht="14.45" customHeight="1" x14ac:dyDescent="0.3">
      <c r="B263" s="123"/>
      <c r="C263" s="134" t="s">
        <v>17</v>
      </c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6"/>
    </row>
    <row r="264" spans="2:17" ht="14.45" customHeight="1" x14ac:dyDescent="0.25">
      <c r="B264" s="123"/>
      <c r="C264" s="1" t="s">
        <v>1</v>
      </c>
      <c r="D264" s="2" t="s">
        <v>2</v>
      </c>
      <c r="E264" s="2" t="s">
        <v>3</v>
      </c>
      <c r="F264" s="2" t="s">
        <v>4</v>
      </c>
      <c r="G264" s="2" t="s">
        <v>5</v>
      </c>
      <c r="H264" s="2" t="s">
        <v>6</v>
      </c>
      <c r="I264" s="2" t="s">
        <v>7</v>
      </c>
      <c r="J264" s="2" t="s">
        <v>8</v>
      </c>
      <c r="K264" s="2" t="s">
        <v>9</v>
      </c>
      <c r="L264" s="2" t="s">
        <v>10</v>
      </c>
      <c r="M264" s="2" t="s">
        <v>11</v>
      </c>
      <c r="N264" s="2" t="s">
        <v>12</v>
      </c>
      <c r="O264" s="2" t="s">
        <v>13</v>
      </c>
      <c r="P264" s="2" t="s">
        <v>14</v>
      </c>
      <c r="Q264" s="3" t="s">
        <v>15</v>
      </c>
    </row>
    <row r="265" spans="2:17" ht="14.45" customHeight="1" x14ac:dyDescent="0.25">
      <c r="B265" s="123"/>
      <c r="C265" s="34">
        <v>30</v>
      </c>
      <c r="D265" s="2">
        <v>4</v>
      </c>
      <c r="E265" s="2">
        <v>1.0960000000000001</v>
      </c>
      <c r="F265" s="2">
        <v>0.22</v>
      </c>
      <c r="G265" s="2">
        <v>1.23</v>
      </c>
      <c r="H265" s="2">
        <v>20</v>
      </c>
      <c r="I265" s="2">
        <v>1</v>
      </c>
      <c r="J265" s="2">
        <v>0</v>
      </c>
      <c r="K265" s="6">
        <v>0.18</v>
      </c>
      <c r="L265" s="2">
        <v>2.4</v>
      </c>
      <c r="M265" s="7">
        <f>(C265+H265)*E265*F265*G265*I265+J265+L265</f>
        <v>17.22888</v>
      </c>
      <c r="N265" s="8">
        <f>((M265/1.2)-L265)*0.18</f>
        <v>2.1523319999999999</v>
      </c>
      <c r="O265" s="9">
        <v>0</v>
      </c>
      <c r="P265" s="8">
        <f>(1-O265)*C265*F265+D265+N265</f>
        <v>12.752331999999999</v>
      </c>
      <c r="Q265" s="36">
        <f>(M265/1.2-P265)/(M265/1.2)</f>
        <v>0.11179377881789189</v>
      </c>
    </row>
    <row r="266" spans="2:17" ht="14.45" customHeight="1" x14ac:dyDescent="0.25">
      <c r="B266" s="123"/>
      <c r="C266" s="34">
        <v>60</v>
      </c>
      <c r="D266" s="2">
        <v>4</v>
      </c>
      <c r="E266" s="2">
        <v>1.2</v>
      </c>
      <c r="F266" s="2">
        <v>0.22</v>
      </c>
      <c r="G266" s="2">
        <v>1.23</v>
      </c>
      <c r="H266" s="2">
        <v>20</v>
      </c>
      <c r="I266" s="2">
        <v>1</v>
      </c>
      <c r="J266" s="2">
        <v>0</v>
      </c>
      <c r="K266" s="6">
        <v>0.18</v>
      </c>
      <c r="L266" s="2">
        <v>2.4</v>
      </c>
      <c r="M266" s="7">
        <f>(C266+H266)*E266*F266*G266*I266+J266+L266</f>
        <v>28.377600000000001</v>
      </c>
      <c r="N266" s="8">
        <f>((M266/1.2)-L266)*0.18</f>
        <v>3.8246400000000005</v>
      </c>
      <c r="O266" s="9">
        <v>0</v>
      </c>
      <c r="P266" s="8">
        <f>(1-O266)*C266*F266+D266+N266</f>
        <v>21.024639999999998</v>
      </c>
      <c r="Q266" s="36">
        <f>(M266/1.2-P266)/(M266/1.2)</f>
        <v>0.11093369418132633</v>
      </c>
    </row>
    <row r="267" spans="2:17" ht="14.45" customHeight="1" x14ac:dyDescent="0.25">
      <c r="B267" s="123"/>
      <c r="C267" s="34">
        <v>120</v>
      </c>
      <c r="D267" s="2">
        <v>4</v>
      </c>
      <c r="E267" s="2">
        <v>1.27</v>
      </c>
      <c r="F267" s="2">
        <v>0.22</v>
      </c>
      <c r="G267" s="2">
        <v>1.23</v>
      </c>
      <c r="H267" s="2">
        <v>20</v>
      </c>
      <c r="I267" s="2">
        <v>1</v>
      </c>
      <c r="J267" s="2">
        <v>0</v>
      </c>
      <c r="K267" s="6">
        <v>0.18</v>
      </c>
      <c r="L267" s="2">
        <v>2.4</v>
      </c>
      <c r="M267" s="7">
        <f>(C267+H267)*E267*F267*G267*I267+J267+L267</f>
        <v>50.512679999999996</v>
      </c>
      <c r="N267" s="8">
        <f>((M267/1.2)-L267)*0.18</f>
        <v>7.1449019999999992</v>
      </c>
      <c r="O267" s="9">
        <v>0</v>
      </c>
      <c r="P267" s="8">
        <f>(1-O267)*C267*F267+D267+N267</f>
        <v>37.544902</v>
      </c>
      <c r="Q267" s="36">
        <f>(M267/1.2-P267)/(M267/1.2)</f>
        <v>0.10806786731569176</v>
      </c>
    </row>
    <row r="268" spans="2:17" ht="14.45" customHeight="1" x14ac:dyDescent="0.25">
      <c r="B268" s="123"/>
      <c r="C268" s="34">
        <v>350</v>
      </c>
      <c r="D268" s="2">
        <v>4</v>
      </c>
      <c r="E268" s="2">
        <v>1.3240000000000001</v>
      </c>
      <c r="F268" s="2">
        <v>0.22</v>
      </c>
      <c r="G268" s="2">
        <v>1.23</v>
      </c>
      <c r="H268" s="2">
        <v>20</v>
      </c>
      <c r="I268" s="2">
        <v>1</v>
      </c>
      <c r="J268" s="2">
        <v>0</v>
      </c>
      <c r="K268" s="6">
        <v>0.18</v>
      </c>
      <c r="L268" s="2">
        <v>2.4</v>
      </c>
      <c r="M268" s="7">
        <f>(C268+H268)*E268*F268*G268*I268+J268+L268</f>
        <v>134.96152800000002</v>
      </c>
      <c r="N268" s="8">
        <f>((M268/1.2)-L268)*0.18</f>
        <v>19.812229200000001</v>
      </c>
      <c r="O268" s="9">
        <v>0</v>
      </c>
      <c r="P268" s="8">
        <f>(1-O268)*C268*F268+D268+N268</f>
        <v>100.8122292</v>
      </c>
      <c r="Q268" s="36">
        <f>(M268/1.2-P268)/(M268/1.2)</f>
        <v>0.10363585213706242</v>
      </c>
    </row>
    <row r="269" spans="2:17" ht="14.45" customHeight="1" thickBot="1" x14ac:dyDescent="0.3">
      <c r="B269" s="124"/>
      <c r="C269" s="34">
        <v>500</v>
      </c>
      <c r="D269" s="2">
        <v>4</v>
      </c>
      <c r="E269" s="2">
        <v>1.33</v>
      </c>
      <c r="F269" s="2">
        <v>0.22</v>
      </c>
      <c r="G269" s="2">
        <v>1.23</v>
      </c>
      <c r="H269" s="2">
        <v>20</v>
      </c>
      <c r="I269" s="2">
        <v>1</v>
      </c>
      <c r="J269" s="2">
        <v>0</v>
      </c>
      <c r="K269" s="6">
        <v>0.18</v>
      </c>
      <c r="L269" s="2">
        <v>2.4</v>
      </c>
      <c r="M269" s="7">
        <f>(C269+H269)*E269*F269*G269*I269+J269+L269</f>
        <v>189.54696000000001</v>
      </c>
      <c r="N269" s="8">
        <f>((M269/1.2)-L269)*0.18</f>
        <v>28.000043999999999</v>
      </c>
      <c r="O269" s="9">
        <v>0</v>
      </c>
      <c r="P269" s="8">
        <f>(1-O269)*C269*F269+D269+N269</f>
        <v>142.000044</v>
      </c>
      <c r="Q269" s="36">
        <f>(M269/1.2-P269)/(M269/1.2)</f>
        <v>0.10101405583080841</v>
      </c>
    </row>
    <row r="270" spans="2:17" ht="15.6" customHeight="1" x14ac:dyDescent="0.25">
      <c r="D270" s="33"/>
    </row>
    <row r="271" spans="2:17" ht="15.6" customHeight="1" thickBot="1" x14ac:dyDescent="0.3">
      <c r="D271" s="33"/>
    </row>
    <row r="272" spans="2:17" ht="15.6" customHeight="1" x14ac:dyDescent="0.3">
      <c r="B272" s="103" t="s">
        <v>96</v>
      </c>
      <c r="C272" s="106" t="s">
        <v>16</v>
      </c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9"/>
    </row>
    <row r="273" spans="2:17" ht="15.6" customHeight="1" x14ac:dyDescent="0.25">
      <c r="B273" s="104"/>
      <c r="C273" s="1" t="s">
        <v>1</v>
      </c>
      <c r="D273" s="32" t="s">
        <v>2</v>
      </c>
      <c r="E273" s="2" t="s">
        <v>3</v>
      </c>
      <c r="F273" s="2" t="s">
        <v>4</v>
      </c>
      <c r="G273" s="2" t="s">
        <v>5</v>
      </c>
      <c r="H273" s="2" t="s">
        <v>6</v>
      </c>
      <c r="I273" s="2" t="s">
        <v>7</v>
      </c>
      <c r="J273" s="2" t="s">
        <v>8</v>
      </c>
      <c r="K273" s="2" t="s">
        <v>9</v>
      </c>
      <c r="L273" s="2" t="s">
        <v>10</v>
      </c>
      <c r="M273" s="2" t="s">
        <v>11</v>
      </c>
      <c r="N273" s="2" t="s">
        <v>12</v>
      </c>
      <c r="O273" s="2" t="s">
        <v>13</v>
      </c>
      <c r="P273" s="2" t="s">
        <v>14</v>
      </c>
      <c r="Q273" s="3" t="s">
        <v>15</v>
      </c>
    </row>
    <row r="274" spans="2:17" ht="15.6" customHeight="1" x14ac:dyDescent="0.25">
      <c r="B274" s="104"/>
      <c r="C274" s="39">
        <v>30</v>
      </c>
      <c r="D274" s="32">
        <v>31.81</v>
      </c>
      <c r="E274" s="2">
        <v>1.4</v>
      </c>
      <c r="F274" s="2">
        <v>1</v>
      </c>
      <c r="G274" s="2">
        <v>1.23</v>
      </c>
      <c r="H274" s="2">
        <v>6.5</v>
      </c>
      <c r="I274" s="2">
        <v>1</v>
      </c>
      <c r="J274" s="2">
        <v>0</v>
      </c>
      <c r="K274" s="6">
        <v>0.18</v>
      </c>
      <c r="L274" s="2">
        <v>0</v>
      </c>
      <c r="M274" s="7">
        <f>(C274+H274)*E274*F274*G274*I274+J274</f>
        <v>62.852999999999994</v>
      </c>
      <c r="N274" s="8">
        <f>((M274/1.21))*0.18</f>
        <v>9.3500330578512383</v>
      </c>
      <c r="O274" s="9">
        <v>0</v>
      </c>
      <c r="P274" s="8">
        <f>(1-O274)*C274*F274+(D274*0.22)+N274</f>
        <v>46.348233057851232</v>
      </c>
      <c r="Q274" s="36">
        <f>(M274/1.2-P274)/(M274/1.2)</f>
        <v>0.11511177398976213</v>
      </c>
    </row>
    <row r="275" spans="2:17" ht="15.6" customHeight="1" x14ac:dyDescent="0.25">
      <c r="B275" s="104"/>
      <c r="C275" s="39">
        <v>60</v>
      </c>
      <c r="D275" s="32">
        <v>31.81</v>
      </c>
      <c r="E275" s="2">
        <v>1.39</v>
      </c>
      <c r="F275" s="2">
        <v>1</v>
      </c>
      <c r="G275" s="2">
        <v>1.23</v>
      </c>
      <c r="H275" s="2">
        <v>6.5</v>
      </c>
      <c r="I275" s="2">
        <v>1</v>
      </c>
      <c r="J275" s="2">
        <v>0</v>
      </c>
      <c r="K275" s="6">
        <v>0.18</v>
      </c>
      <c r="L275" s="2">
        <v>0</v>
      </c>
      <c r="M275" s="7">
        <f t="shared" ref="M275:M278" si="12">(C275+H275)*E275*F275*G275*I275+J275</f>
        <v>113.69504999999998</v>
      </c>
      <c r="N275" s="8">
        <f t="shared" ref="N275:N278" si="13">((M275/1.21))*0.18</f>
        <v>16.913313223140491</v>
      </c>
      <c r="O275" s="9">
        <v>0</v>
      </c>
      <c r="P275" s="8">
        <f t="shared" ref="P275:P278" si="14">(1-O275)*C275*F275+(D275*0.22)+N275</f>
        <v>83.911513223140489</v>
      </c>
      <c r="Q275" s="36">
        <f t="shared" ref="Q275:Q278" si="15">(M275/1.2-P275)/(M275/1.2)</f>
        <v>0.11435180451771117</v>
      </c>
    </row>
    <row r="276" spans="2:17" ht="15.6" customHeight="1" x14ac:dyDescent="0.25">
      <c r="B276" s="104"/>
      <c r="C276" s="39">
        <v>120</v>
      </c>
      <c r="D276" s="32">
        <v>31.81</v>
      </c>
      <c r="E276" s="2">
        <v>1.38</v>
      </c>
      <c r="F276" s="2">
        <v>1</v>
      </c>
      <c r="G276" s="2">
        <v>1.23</v>
      </c>
      <c r="H276" s="2">
        <v>6.5</v>
      </c>
      <c r="I276" s="2">
        <v>1</v>
      </c>
      <c r="J276" s="2">
        <v>0</v>
      </c>
      <c r="K276" s="6">
        <v>0.18</v>
      </c>
      <c r="L276" s="2">
        <v>0</v>
      </c>
      <c r="M276" s="7">
        <f t="shared" si="12"/>
        <v>214.72109999999998</v>
      </c>
      <c r="N276" s="8">
        <f t="shared" si="13"/>
        <v>31.941981818181816</v>
      </c>
      <c r="O276" s="9">
        <v>0</v>
      </c>
      <c r="P276" s="8">
        <f t="shared" si="14"/>
        <v>158.94018181818183</v>
      </c>
      <c r="Q276" s="36">
        <f t="shared" si="15"/>
        <v>0.11173974899617131</v>
      </c>
    </row>
    <row r="277" spans="2:17" ht="15.6" customHeight="1" x14ac:dyDescent="0.25">
      <c r="B277" s="104"/>
      <c r="C277" s="39">
        <v>350</v>
      </c>
      <c r="D277" s="32">
        <v>31.81</v>
      </c>
      <c r="E277" s="2">
        <v>1.37</v>
      </c>
      <c r="F277" s="2">
        <v>1</v>
      </c>
      <c r="G277" s="2">
        <v>1.23</v>
      </c>
      <c r="H277" s="2">
        <v>6.5</v>
      </c>
      <c r="I277" s="2">
        <v>1</v>
      </c>
      <c r="J277" s="2">
        <v>0</v>
      </c>
      <c r="K277" s="6">
        <v>0.18</v>
      </c>
      <c r="L277" s="2">
        <v>0</v>
      </c>
      <c r="M277" s="7">
        <f t="shared" si="12"/>
        <v>600.73815000000002</v>
      </c>
      <c r="N277" s="8">
        <f t="shared" si="13"/>
        <v>89.36600578512396</v>
      </c>
      <c r="O277" s="9">
        <v>0</v>
      </c>
      <c r="P277" s="8">
        <f t="shared" si="14"/>
        <v>446.36420578512394</v>
      </c>
      <c r="Q277" s="36">
        <f t="shared" si="15"/>
        <v>0.10836851806040836</v>
      </c>
    </row>
    <row r="278" spans="2:17" ht="15.6" customHeight="1" x14ac:dyDescent="0.25">
      <c r="B278" s="104"/>
      <c r="C278" s="39">
        <v>500</v>
      </c>
      <c r="D278" s="32">
        <v>31.81</v>
      </c>
      <c r="E278" s="2">
        <v>1.36</v>
      </c>
      <c r="F278" s="2">
        <v>1</v>
      </c>
      <c r="G278" s="2">
        <v>1.23</v>
      </c>
      <c r="H278" s="2">
        <v>6.5</v>
      </c>
      <c r="I278" s="2">
        <v>1</v>
      </c>
      <c r="J278" s="2">
        <v>0</v>
      </c>
      <c r="K278" s="6">
        <v>0.18</v>
      </c>
      <c r="L278" s="2">
        <v>0</v>
      </c>
      <c r="M278" s="7">
        <f t="shared" si="12"/>
        <v>847.27319999999997</v>
      </c>
      <c r="N278" s="8">
        <f t="shared" si="13"/>
        <v>126.04064132231404</v>
      </c>
      <c r="O278" s="9">
        <v>0</v>
      </c>
      <c r="P278" s="8">
        <f t="shared" si="14"/>
        <v>633.03884132231406</v>
      </c>
      <c r="Q278" s="36">
        <f t="shared" si="15"/>
        <v>0.10342188377163726</v>
      </c>
    </row>
    <row r="279" spans="2:17" ht="15.6" customHeight="1" x14ac:dyDescent="0.25">
      <c r="B279" s="104"/>
      <c r="D279" s="33"/>
      <c r="Q279" s="18"/>
    </row>
    <row r="280" spans="2:17" ht="15.6" customHeight="1" x14ac:dyDescent="0.3">
      <c r="B280" s="104"/>
      <c r="C280" s="107" t="s">
        <v>17</v>
      </c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9"/>
    </row>
    <row r="281" spans="2:17" ht="15.6" customHeight="1" x14ac:dyDescent="0.25">
      <c r="B281" s="104"/>
      <c r="C281" s="1" t="s">
        <v>1</v>
      </c>
      <c r="D281" s="32" t="s">
        <v>2</v>
      </c>
      <c r="E281" s="2" t="s">
        <v>3</v>
      </c>
      <c r="F281" s="2" t="s">
        <v>4</v>
      </c>
      <c r="G281" s="2" t="s">
        <v>5</v>
      </c>
      <c r="H281" s="2" t="s">
        <v>6</v>
      </c>
      <c r="I281" s="2" t="s">
        <v>7</v>
      </c>
      <c r="J281" s="2" t="s">
        <v>8</v>
      </c>
      <c r="K281" s="2" t="s">
        <v>9</v>
      </c>
      <c r="L281" s="2" t="s">
        <v>10</v>
      </c>
      <c r="M281" s="2" t="s">
        <v>11</v>
      </c>
      <c r="N281" s="2" t="s">
        <v>12</v>
      </c>
      <c r="O281" s="2" t="s">
        <v>13</v>
      </c>
      <c r="P281" s="2" t="s">
        <v>14</v>
      </c>
      <c r="Q281" s="3" t="s">
        <v>15</v>
      </c>
    </row>
    <row r="282" spans="2:17" ht="15.6" customHeight="1" x14ac:dyDescent="0.25">
      <c r="B282" s="104"/>
      <c r="C282" s="39">
        <v>30</v>
      </c>
      <c r="D282" s="32">
        <v>22.31</v>
      </c>
      <c r="E282" s="2">
        <v>1.4</v>
      </c>
      <c r="F282" s="2">
        <v>1</v>
      </c>
      <c r="G282" s="2">
        <v>1.23</v>
      </c>
      <c r="H282" s="2">
        <v>4.5</v>
      </c>
      <c r="I282" s="2">
        <v>1</v>
      </c>
      <c r="J282" s="2">
        <v>0</v>
      </c>
      <c r="K282" s="6">
        <v>0.18</v>
      </c>
      <c r="L282" s="2">
        <v>2.4</v>
      </c>
      <c r="M282" s="7">
        <f>(C282+H282)*E282*F282*G282*I282+J282</f>
        <v>59.408999999999999</v>
      </c>
      <c r="N282" s="8">
        <f>((M282/1.21))*0.18</f>
        <v>8.8377024793388426</v>
      </c>
      <c r="O282" s="9">
        <v>0</v>
      </c>
      <c r="P282" s="8">
        <f>(1-O282)*C282*F282+(D282*0.22)+N282</f>
        <v>43.745902479338845</v>
      </c>
      <c r="Q282" s="36">
        <f>(M282/1.2-P282)/(M282/1.2)</f>
        <v>0.11637827643611888</v>
      </c>
    </row>
    <row r="283" spans="2:17" ht="15.6" customHeight="1" x14ac:dyDescent="0.25">
      <c r="B283" s="104"/>
      <c r="C283" s="39">
        <v>60</v>
      </c>
      <c r="D283" s="32">
        <v>22.31</v>
      </c>
      <c r="E283" s="2">
        <v>1.39</v>
      </c>
      <c r="F283" s="2">
        <v>1</v>
      </c>
      <c r="G283" s="2">
        <v>1.23</v>
      </c>
      <c r="H283" s="2">
        <v>4.5</v>
      </c>
      <c r="I283" s="2">
        <v>1</v>
      </c>
      <c r="J283" s="2">
        <v>0</v>
      </c>
      <c r="K283" s="6">
        <v>0.18</v>
      </c>
      <c r="L283" s="2">
        <v>2.4</v>
      </c>
      <c r="M283" s="7">
        <f t="shared" ref="M283:M286" si="16">(C283+H283)*E283*F283*G283*I283+J283</f>
        <v>110.27564999999998</v>
      </c>
      <c r="N283" s="8">
        <f t="shared" ref="N283:N286" si="17">((M283/1.21))*0.18</f>
        <v>16.404642148760328</v>
      </c>
      <c r="O283" s="9">
        <v>0</v>
      </c>
      <c r="P283" s="8">
        <f t="shared" ref="P283:P286" si="18">(1-O283)*C283*F283+(D283*0.22)+N283</f>
        <v>81.312842148760325</v>
      </c>
      <c r="Q283" s="36">
        <f t="shared" ref="Q283:Q286" si="19">(M283/1.2-P283)/(M283/1.2)</f>
        <v>0.11516812117169657</v>
      </c>
    </row>
    <row r="284" spans="2:17" ht="15.6" customHeight="1" x14ac:dyDescent="0.25">
      <c r="B284" s="104"/>
      <c r="C284" s="39">
        <v>120</v>
      </c>
      <c r="D284" s="32">
        <v>22.31</v>
      </c>
      <c r="E284" s="2">
        <v>1.38</v>
      </c>
      <c r="F284" s="2">
        <v>1</v>
      </c>
      <c r="G284" s="2">
        <v>1.23</v>
      </c>
      <c r="H284" s="2">
        <v>4.5</v>
      </c>
      <c r="I284" s="2">
        <v>1</v>
      </c>
      <c r="J284" s="2">
        <v>0</v>
      </c>
      <c r="K284" s="6">
        <v>0.18</v>
      </c>
      <c r="L284" s="2">
        <v>2.4</v>
      </c>
      <c r="M284" s="7">
        <f t="shared" si="16"/>
        <v>211.32629999999997</v>
      </c>
      <c r="N284" s="8">
        <f t="shared" si="17"/>
        <v>31.436970247933882</v>
      </c>
      <c r="O284" s="9">
        <v>0</v>
      </c>
      <c r="P284" s="8">
        <f t="shared" si="18"/>
        <v>156.34517024793388</v>
      </c>
      <c r="Q284" s="36">
        <f t="shared" si="19"/>
        <v>0.11220607989861806</v>
      </c>
    </row>
    <row r="285" spans="2:17" ht="15.6" customHeight="1" x14ac:dyDescent="0.25">
      <c r="B285" s="104"/>
      <c r="C285" s="39">
        <v>350</v>
      </c>
      <c r="D285" s="32">
        <v>22.31</v>
      </c>
      <c r="E285" s="2">
        <v>1.37</v>
      </c>
      <c r="F285" s="2">
        <v>1</v>
      </c>
      <c r="G285" s="2">
        <v>1.23</v>
      </c>
      <c r="H285" s="2">
        <v>4.5</v>
      </c>
      <c r="I285" s="2">
        <v>1</v>
      </c>
      <c r="J285" s="2">
        <v>0</v>
      </c>
      <c r="K285" s="6">
        <v>0.18</v>
      </c>
      <c r="L285" s="2">
        <v>2.4</v>
      </c>
      <c r="M285" s="7">
        <f t="shared" si="16"/>
        <v>597.36795000000006</v>
      </c>
      <c r="N285" s="8">
        <f t="shared" si="17"/>
        <v>88.864653719008274</v>
      </c>
      <c r="O285" s="9">
        <v>0</v>
      </c>
      <c r="P285" s="8">
        <f t="shared" si="18"/>
        <v>443.77285371900831</v>
      </c>
      <c r="Q285" s="36">
        <f t="shared" si="19"/>
        <v>0.10854369662314506</v>
      </c>
    </row>
    <row r="286" spans="2:17" ht="15.6" customHeight="1" thickBot="1" x14ac:dyDescent="0.3">
      <c r="B286" s="105"/>
      <c r="C286" s="39">
        <v>500</v>
      </c>
      <c r="D286" s="32">
        <v>22.31</v>
      </c>
      <c r="E286" s="2">
        <v>1.36</v>
      </c>
      <c r="F286" s="2">
        <v>1</v>
      </c>
      <c r="G286" s="2">
        <v>1.23</v>
      </c>
      <c r="H286" s="2">
        <v>4.5</v>
      </c>
      <c r="I286" s="2">
        <v>1</v>
      </c>
      <c r="J286" s="2">
        <v>0</v>
      </c>
      <c r="K286" s="6">
        <v>0.18</v>
      </c>
      <c r="L286" s="2">
        <v>2.4</v>
      </c>
      <c r="M286" s="7">
        <f t="shared" si="16"/>
        <v>843.92759999999998</v>
      </c>
      <c r="N286" s="8">
        <f t="shared" si="17"/>
        <v>125.54294876033057</v>
      </c>
      <c r="O286" s="9">
        <v>0</v>
      </c>
      <c r="P286" s="8">
        <f t="shared" si="18"/>
        <v>630.45114876033063</v>
      </c>
      <c r="Q286" s="36">
        <f t="shared" si="19"/>
        <v>0.1035470595908977</v>
      </c>
    </row>
    <row r="287" spans="2:17" ht="15.6" customHeight="1" thickBot="1" x14ac:dyDescent="0.3">
      <c r="D287" s="33"/>
    </row>
    <row r="288" spans="2:17" ht="15.6" customHeight="1" x14ac:dyDescent="0.3">
      <c r="B288" s="103" t="s">
        <v>97</v>
      </c>
      <c r="C288" s="106" t="s">
        <v>16</v>
      </c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9"/>
    </row>
    <row r="289" spans="2:17" ht="15.6" customHeight="1" x14ac:dyDescent="0.25">
      <c r="B289" s="104"/>
      <c r="C289" s="1" t="s">
        <v>1</v>
      </c>
      <c r="D289" s="3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2" t="s">
        <v>8</v>
      </c>
      <c r="K289" s="2" t="s">
        <v>9</v>
      </c>
      <c r="L289" s="2" t="s">
        <v>10</v>
      </c>
      <c r="M289" s="2" t="s">
        <v>11</v>
      </c>
      <c r="N289" s="2" t="s">
        <v>12</v>
      </c>
      <c r="O289" s="2" t="s">
        <v>13</v>
      </c>
      <c r="P289" s="2" t="s">
        <v>14</v>
      </c>
      <c r="Q289" s="3" t="s">
        <v>15</v>
      </c>
    </row>
    <row r="290" spans="2:17" ht="15.6" customHeight="1" x14ac:dyDescent="0.25">
      <c r="B290" s="104"/>
      <c r="C290" s="39">
        <v>30</v>
      </c>
      <c r="D290" s="32">
        <v>64.94</v>
      </c>
      <c r="E290" s="2">
        <v>1.4</v>
      </c>
      <c r="F290" s="2">
        <v>1</v>
      </c>
      <c r="G290" s="2">
        <v>1.23</v>
      </c>
      <c r="H290" s="2">
        <v>6.5</v>
      </c>
      <c r="I290" s="2">
        <v>1</v>
      </c>
      <c r="J290" s="2">
        <v>0</v>
      </c>
      <c r="K290" s="6">
        <v>0.18</v>
      </c>
      <c r="L290" s="2">
        <v>0</v>
      </c>
      <c r="M290" s="7">
        <f>(C290+H290)*E290*F290*G290*I290+J290+L290</f>
        <v>62.852999999999994</v>
      </c>
      <c r="N290" s="8">
        <f>((M290/1.21)-L290)*0.18</f>
        <v>9.3500330578512383</v>
      </c>
      <c r="O290" s="9">
        <v>0</v>
      </c>
      <c r="P290" s="8">
        <f>(1-O290)*C290*F290+(D290*0.22)+N290</f>
        <v>53.636833057851234</v>
      </c>
      <c r="Q290" s="36">
        <f>(M290/1.2-P290)/(M290/1.2)</f>
        <v>-2.404339760109277E-2</v>
      </c>
    </row>
    <row r="291" spans="2:17" ht="15.6" customHeight="1" x14ac:dyDescent="0.25">
      <c r="B291" s="104"/>
      <c r="C291" s="39">
        <v>60</v>
      </c>
      <c r="D291" s="32">
        <v>64.94</v>
      </c>
      <c r="E291" s="2">
        <v>1.39</v>
      </c>
      <c r="F291" s="2">
        <v>1</v>
      </c>
      <c r="G291" s="2">
        <v>1.23</v>
      </c>
      <c r="H291" s="2">
        <v>6.5</v>
      </c>
      <c r="I291" s="2">
        <v>1</v>
      </c>
      <c r="J291" s="2">
        <v>0</v>
      </c>
      <c r="K291" s="6">
        <v>0.18</v>
      </c>
      <c r="L291" s="2">
        <v>0</v>
      </c>
      <c r="M291" s="7">
        <f>(C291+H291)*E291*F291*G291*I291+J291+L291</f>
        <v>113.69504999999998</v>
      </c>
      <c r="N291" s="8">
        <f>((M291/1.21)-L291)*0.18</f>
        <v>16.913313223140491</v>
      </c>
      <c r="O291" s="9">
        <v>0</v>
      </c>
      <c r="P291" s="8">
        <f t="shared" ref="P291:P294" si="20">(1-O291)*C291*F291+(D291*0.22)+N291</f>
        <v>91.200113223140491</v>
      </c>
      <c r="Q291" s="36">
        <f t="shared" ref="Q291:Q294" si="21">(M291/1.2-P291)/(M291/1.2)</f>
        <v>3.7423917155860277E-2</v>
      </c>
    </row>
    <row r="292" spans="2:17" ht="15.6" customHeight="1" x14ac:dyDescent="0.25">
      <c r="B292" s="104"/>
      <c r="C292" s="39">
        <v>120</v>
      </c>
      <c r="D292" s="32">
        <v>64.94</v>
      </c>
      <c r="E292" s="2">
        <v>1.38</v>
      </c>
      <c r="F292" s="2">
        <v>1</v>
      </c>
      <c r="G292" s="2">
        <v>1.23</v>
      </c>
      <c r="H292" s="2">
        <v>6.5</v>
      </c>
      <c r="I292" s="2">
        <v>1</v>
      </c>
      <c r="J292" s="2">
        <v>0</v>
      </c>
      <c r="K292" s="6">
        <v>0.18</v>
      </c>
      <c r="L292" s="2">
        <v>0</v>
      </c>
      <c r="M292" s="7">
        <f>(C292+H292)*E292*F292*G292*I292+J292+L292</f>
        <v>214.72109999999998</v>
      </c>
      <c r="N292" s="8">
        <f>((M292/1.21)-L292)*0.18</f>
        <v>31.941981818181816</v>
      </c>
      <c r="O292" s="9">
        <v>0</v>
      </c>
      <c r="P292" s="8">
        <f t="shared" si="20"/>
        <v>166.2287818181818</v>
      </c>
      <c r="Q292" s="36">
        <f t="shared" si="21"/>
        <v>7.1006351113988467E-2</v>
      </c>
    </row>
    <row r="293" spans="2:17" ht="15.6" customHeight="1" x14ac:dyDescent="0.25">
      <c r="B293" s="104"/>
      <c r="C293" s="39">
        <v>350</v>
      </c>
      <c r="D293" s="32">
        <v>64.94</v>
      </c>
      <c r="E293" s="2">
        <v>1.37</v>
      </c>
      <c r="F293" s="2">
        <v>1</v>
      </c>
      <c r="G293" s="2">
        <v>1.23</v>
      </c>
      <c r="H293" s="2">
        <v>6.5</v>
      </c>
      <c r="I293" s="2">
        <v>1</v>
      </c>
      <c r="J293" s="2">
        <v>0</v>
      </c>
      <c r="K293" s="6">
        <v>0.18</v>
      </c>
      <c r="L293" s="2">
        <v>0</v>
      </c>
      <c r="M293" s="7">
        <f>(C293+H293)*E293*F293*G293*I293+J293+L293</f>
        <v>600.73815000000002</v>
      </c>
      <c r="N293" s="8">
        <f>((M293/1.21)-L293)*0.18</f>
        <v>89.36600578512396</v>
      </c>
      <c r="O293" s="9">
        <v>0</v>
      </c>
      <c r="P293" s="8">
        <f t="shared" si="20"/>
        <v>453.65280578512392</v>
      </c>
      <c r="Q293" s="36">
        <f t="shared" si="21"/>
        <v>9.3809229625006069E-2</v>
      </c>
    </row>
    <row r="294" spans="2:17" ht="15.6" customHeight="1" x14ac:dyDescent="0.25">
      <c r="B294" s="104"/>
      <c r="C294" s="39">
        <v>500</v>
      </c>
      <c r="D294" s="32">
        <v>64.94</v>
      </c>
      <c r="E294" s="2">
        <v>1.36</v>
      </c>
      <c r="F294" s="2">
        <v>1</v>
      </c>
      <c r="G294" s="2">
        <v>1.23</v>
      </c>
      <c r="H294" s="2">
        <v>6.5</v>
      </c>
      <c r="I294" s="2">
        <v>1</v>
      </c>
      <c r="J294" s="2">
        <v>0</v>
      </c>
      <c r="K294" s="6">
        <v>0.18</v>
      </c>
      <c r="L294" s="2">
        <v>0</v>
      </c>
      <c r="M294" s="7">
        <f>(C294+H294)*E294*F294*G294*I294+J294+L294</f>
        <v>847.27319999999997</v>
      </c>
      <c r="N294" s="8">
        <f>((M294/1.21)-L294)*0.18</f>
        <v>126.04064132231404</v>
      </c>
      <c r="O294" s="9">
        <v>0</v>
      </c>
      <c r="P294" s="8">
        <f t="shared" si="20"/>
        <v>640.32744132231403</v>
      </c>
      <c r="Q294" s="36">
        <f t="shared" si="21"/>
        <v>9.3098979659952896E-2</v>
      </c>
    </row>
    <row r="295" spans="2:17" ht="15.6" customHeight="1" x14ac:dyDescent="0.25">
      <c r="B295" s="104"/>
      <c r="D295" s="33"/>
      <c r="Q295" s="18"/>
    </row>
    <row r="296" spans="2:17" ht="15.6" customHeight="1" x14ac:dyDescent="0.3">
      <c r="B296" s="104"/>
      <c r="C296" s="107" t="s">
        <v>17</v>
      </c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9"/>
    </row>
    <row r="297" spans="2:17" ht="15.6" customHeight="1" x14ac:dyDescent="0.25">
      <c r="B297" s="104"/>
      <c r="C297" s="1" t="s">
        <v>1</v>
      </c>
      <c r="D297" s="32" t="s">
        <v>2</v>
      </c>
      <c r="E297" s="2" t="s">
        <v>3</v>
      </c>
      <c r="F297" s="2" t="s">
        <v>4</v>
      </c>
      <c r="G297" s="2" t="s">
        <v>5</v>
      </c>
      <c r="H297" s="2" t="s">
        <v>6</v>
      </c>
      <c r="I297" s="2" t="s">
        <v>7</v>
      </c>
      <c r="J297" s="2" t="s">
        <v>8</v>
      </c>
      <c r="K297" s="2" t="s">
        <v>9</v>
      </c>
      <c r="L297" s="2" t="s">
        <v>10</v>
      </c>
      <c r="M297" s="2" t="s">
        <v>11</v>
      </c>
      <c r="N297" s="2" t="s">
        <v>12</v>
      </c>
      <c r="O297" s="2" t="s">
        <v>13</v>
      </c>
      <c r="P297" s="2" t="s">
        <v>14</v>
      </c>
      <c r="Q297" s="3" t="s">
        <v>15</v>
      </c>
    </row>
    <row r="298" spans="2:17" ht="15.6" customHeight="1" x14ac:dyDescent="0.25">
      <c r="B298" s="104"/>
      <c r="C298" s="39">
        <v>30</v>
      </c>
      <c r="D298" s="32">
        <v>64.94</v>
      </c>
      <c r="E298" s="2">
        <v>1.4</v>
      </c>
      <c r="F298" s="2">
        <v>1</v>
      </c>
      <c r="G298" s="2">
        <v>1.23</v>
      </c>
      <c r="H298" s="2">
        <v>4.5</v>
      </c>
      <c r="I298" s="2">
        <v>1</v>
      </c>
      <c r="J298" s="2">
        <v>0</v>
      </c>
      <c r="K298" s="6">
        <v>0.18</v>
      </c>
      <c r="L298" s="2">
        <v>10</v>
      </c>
      <c r="M298" s="7">
        <f>(C298+H298)*E298*F298*G298*I298+J298+L298</f>
        <v>69.408999999999992</v>
      </c>
      <c r="N298" s="8">
        <f>((M298/1.21)-L298)*0.18</f>
        <v>8.5253057851239653</v>
      </c>
      <c r="O298" s="9">
        <v>0</v>
      </c>
      <c r="P298" s="8">
        <f>(1-O298)*C298*F298+(D298*0.22)+N298</f>
        <v>52.812105785123961</v>
      </c>
      <c r="Q298" s="36">
        <f>(M298/1.2-P298)/(M298/1.2)</f>
        <v>8.6940786610543899E-2</v>
      </c>
    </row>
    <row r="299" spans="2:17" ht="15.6" customHeight="1" x14ac:dyDescent="0.25">
      <c r="B299" s="104"/>
      <c r="C299" s="39">
        <v>60</v>
      </c>
      <c r="D299" s="32">
        <v>64.94</v>
      </c>
      <c r="E299" s="2">
        <v>1.39</v>
      </c>
      <c r="F299" s="2">
        <v>1</v>
      </c>
      <c r="G299" s="2">
        <v>1.23</v>
      </c>
      <c r="H299" s="2">
        <v>4.5</v>
      </c>
      <c r="I299" s="2">
        <v>1</v>
      </c>
      <c r="J299" s="2">
        <v>0</v>
      </c>
      <c r="K299" s="6">
        <v>0.18</v>
      </c>
      <c r="L299" s="2">
        <v>19</v>
      </c>
      <c r="M299" s="7">
        <f>(C299+H299)*E299*F299*G299*I299+J299+L299</f>
        <v>129.27564999999998</v>
      </c>
      <c r="N299" s="8">
        <f>((M299/1.21)-L299)*0.18</f>
        <v>15.811088429752063</v>
      </c>
      <c r="O299" s="9">
        <v>0</v>
      </c>
      <c r="P299" s="8">
        <f t="shared" ref="P299:P302" si="22">(1-O299)*C299*F299+(D299*0.22)+N299</f>
        <v>90.097888429752061</v>
      </c>
      <c r="Q299" s="36">
        <f t="shared" ref="Q299:Q302" si="23">(M299/1.2-P299)/(M299/1.2)</f>
        <v>0.16366720170656665</v>
      </c>
    </row>
    <row r="300" spans="2:17" ht="15.6" customHeight="1" x14ac:dyDescent="0.25">
      <c r="B300" s="104"/>
      <c r="C300" s="39">
        <v>120</v>
      </c>
      <c r="D300" s="32">
        <v>64.94</v>
      </c>
      <c r="E300" s="2">
        <v>1.38</v>
      </c>
      <c r="F300" s="2">
        <v>1</v>
      </c>
      <c r="G300" s="2">
        <v>1.23</v>
      </c>
      <c r="H300" s="2">
        <v>4.5</v>
      </c>
      <c r="I300" s="2">
        <v>1</v>
      </c>
      <c r="J300" s="2">
        <v>0</v>
      </c>
      <c r="K300" s="6">
        <v>0.18</v>
      </c>
      <c r="L300" s="2">
        <v>27</v>
      </c>
      <c r="M300" s="7">
        <f>(C300+H300)*E300*F300*G300*I300+J300+L300</f>
        <v>238.32629999999997</v>
      </c>
      <c r="N300" s="8">
        <f>((M300/1.21)-L300)*0.18</f>
        <v>30.593499173553717</v>
      </c>
      <c r="O300" s="9">
        <v>0</v>
      </c>
      <c r="P300" s="8">
        <f t="shared" si="22"/>
        <v>164.88029917355371</v>
      </c>
      <c r="Q300" s="36">
        <f t="shared" si="23"/>
        <v>0.16980895936258622</v>
      </c>
    </row>
    <row r="301" spans="2:17" ht="15.6" customHeight="1" x14ac:dyDescent="0.25">
      <c r="B301" s="104"/>
      <c r="C301" s="39">
        <v>350</v>
      </c>
      <c r="D301" s="32">
        <v>64.94</v>
      </c>
      <c r="E301" s="2">
        <v>1.37</v>
      </c>
      <c r="F301" s="2">
        <v>1</v>
      </c>
      <c r="G301" s="2">
        <v>1.23</v>
      </c>
      <c r="H301" s="2">
        <v>4.5</v>
      </c>
      <c r="I301" s="2">
        <v>1</v>
      </c>
      <c r="J301" s="2">
        <v>0</v>
      </c>
      <c r="K301" s="6">
        <v>0.18</v>
      </c>
      <c r="L301" s="2">
        <v>39</v>
      </c>
      <c r="M301" s="7">
        <f>(C301+H301)*E301*F301*G301*I301+J301+L301</f>
        <v>636.36795000000006</v>
      </c>
      <c r="N301" s="8">
        <f>((M301/1.21)-L301)*0.18</f>
        <v>87.646306611570253</v>
      </c>
      <c r="O301" s="9">
        <v>0</v>
      </c>
      <c r="P301" s="8">
        <f t="shared" si="22"/>
        <v>451.93310661157022</v>
      </c>
      <c r="Q301" s="36">
        <f t="shared" si="23"/>
        <v>0.14778906144804399</v>
      </c>
    </row>
    <row r="302" spans="2:17" ht="15.6" customHeight="1" thickBot="1" x14ac:dyDescent="0.3">
      <c r="B302" s="105"/>
      <c r="C302" s="39">
        <v>500</v>
      </c>
      <c r="D302" s="32">
        <v>64.94</v>
      </c>
      <c r="E302" s="2">
        <v>1.36</v>
      </c>
      <c r="F302" s="2">
        <v>1</v>
      </c>
      <c r="G302" s="2">
        <v>1.23</v>
      </c>
      <c r="H302" s="2">
        <v>4.5</v>
      </c>
      <c r="I302" s="2">
        <v>1</v>
      </c>
      <c r="J302" s="2">
        <v>0</v>
      </c>
      <c r="K302" s="6">
        <v>0.18</v>
      </c>
      <c r="L302" s="2">
        <v>39</v>
      </c>
      <c r="M302" s="7">
        <f>(C302+H302)*E302*F302*G302*I302+J302+L302</f>
        <v>882.92759999999998</v>
      </c>
      <c r="N302" s="8">
        <f>((M302/1.21)-L302)*0.18</f>
        <v>124.32460165289255</v>
      </c>
      <c r="O302" s="9">
        <v>0</v>
      </c>
      <c r="P302" s="8">
        <f t="shared" si="22"/>
        <v>638.61140165289248</v>
      </c>
      <c r="Q302" s="36">
        <f t="shared" si="23"/>
        <v>0.13205376977288857</v>
      </c>
    </row>
    <row r="303" spans="2:17" ht="15.6" customHeight="1" thickBot="1" x14ac:dyDescent="0.3">
      <c r="D303" s="33"/>
    </row>
    <row r="304" spans="2:17" ht="15.6" customHeight="1" x14ac:dyDescent="0.3">
      <c r="B304" s="103" t="s">
        <v>98</v>
      </c>
      <c r="C304" s="106" t="s">
        <v>16</v>
      </c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9"/>
    </row>
    <row r="305" spans="2:17" ht="15.6" customHeight="1" x14ac:dyDescent="0.25">
      <c r="B305" s="104"/>
      <c r="C305" s="1" t="s">
        <v>1</v>
      </c>
      <c r="D305" s="32" t="s">
        <v>2</v>
      </c>
      <c r="E305" s="2" t="s">
        <v>3</v>
      </c>
      <c r="F305" s="2" t="s">
        <v>4</v>
      </c>
      <c r="G305" s="2" t="s">
        <v>5</v>
      </c>
      <c r="H305" s="2" t="s">
        <v>6</v>
      </c>
      <c r="I305" s="2" t="s">
        <v>7</v>
      </c>
      <c r="J305" s="2" t="s">
        <v>8</v>
      </c>
      <c r="K305" s="2" t="s">
        <v>9</v>
      </c>
      <c r="L305" s="2" t="s">
        <v>10</v>
      </c>
      <c r="M305" s="2" t="s">
        <v>11</v>
      </c>
      <c r="N305" s="2" t="s">
        <v>12</v>
      </c>
      <c r="O305" s="2" t="s">
        <v>13</v>
      </c>
      <c r="P305" s="2" t="s">
        <v>14</v>
      </c>
      <c r="Q305" s="3" t="s">
        <v>15</v>
      </c>
    </row>
    <row r="306" spans="2:17" ht="15.6" customHeight="1" x14ac:dyDescent="0.25">
      <c r="B306" s="104"/>
      <c r="C306" s="39">
        <v>30</v>
      </c>
      <c r="D306" s="32">
        <v>70.989999999999995</v>
      </c>
      <c r="E306" s="2">
        <v>1.4</v>
      </c>
      <c r="F306" s="2">
        <v>1</v>
      </c>
      <c r="G306" s="2">
        <v>1.23</v>
      </c>
      <c r="H306" s="2">
        <v>6.5</v>
      </c>
      <c r="I306" s="2">
        <v>1</v>
      </c>
      <c r="J306" s="2">
        <v>0</v>
      </c>
      <c r="K306" s="6">
        <v>0.18</v>
      </c>
      <c r="L306" s="2">
        <v>13</v>
      </c>
      <c r="M306" s="7">
        <f>(C306+H306)*E306*F306*G306*I306+J306+L306</f>
        <v>75.852999999999994</v>
      </c>
      <c r="N306" s="8">
        <f>((M306/1.21)-L306)*0.18</f>
        <v>8.9439173553718998</v>
      </c>
      <c r="O306" s="9">
        <v>0</v>
      </c>
      <c r="P306" s="8">
        <f>(1-O306)*C306*F306+(D306*0.22)+N306</f>
        <v>54.561717355371904</v>
      </c>
      <c r="Q306" s="36">
        <f>(M306/1.2-P306)/(M306/1.2)</f>
        <v>0.13682964646821769</v>
      </c>
    </row>
    <row r="307" spans="2:17" ht="15.6" customHeight="1" x14ac:dyDescent="0.25">
      <c r="B307" s="104"/>
      <c r="C307" s="39">
        <v>60</v>
      </c>
      <c r="D307" s="32">
        <v>70.989999999999995</v>
      </c>
      <c r="E307" s="2">
        <v>1.39</v>
      </c>
      <c r="F307" s="2">
        <v>1</v>
      </c>
      <c r="G307" s="2">
        <v>1.23</v>
      </c>
      <c r="H307" s="2">
        <v>6.5</v>
      </c>
      <c r="I307" s="2">
        <v>1</v>
      </c>
      <c r="J307" s="2">
        <v>0</v>
      </c>
      <c r="K307" s="6">
        <v>0.18</v>
      </c>
      <c r="L307" s="2">
        <v>18</v>
      </c>
      <c r="M307" s="7">
        <f>(C307+H307)*E307*F307*G307*I307+J307+L307</f>
        <v>131.69504999999998</v>
      </c>
      <c r="N307" s="8">
        <f>((M307/1.21)-L307)*0.18</f>
        <v>16.350999173553717</v>
      </c>
      <c r="O307" s="9">
        <v>0</v>
      </c>
      <c r="P307" s="8">
        <f t="shared" ref="P307:P310" si="24">(1-O307)*C307*F307+(D307*0.22)+N307</f>
        <v>91.96879917355372</v>
      </c>
      <c r="Q307" s="36">
        <f t="shared" ref="Q307:Q310" si="25">(M307/1.2-P307)/(M307/1.2)</f>
        <v>0.16198400009518596</v>
      </c>
    </row>
    <row r="308" spans="2:17" ht="15.6" customHeight="1" x14ac:dyDescent="0.25">
      <c r="B308" s="104"/>
      <c r="C308" s="39">
        <v>120</v>
      </c>
      <c r="D308" s="32">
        <v>70.989999999999995</v>
      </c>
      <c r="E308" s="2">
        <v>1.38</v>
      </c>
      <c r="F308" s="2">
        <v>1</v>
      </c>
      <c r="G308" s="2">
        <v>1.23</v>
      </c>
      <c r="H308" s="2">
        <v>6.5</v>
      </c>
      <c r="I308" s="2">
        <v>1</v>
      </c>
      <c r="J308" s="2">
        <v>0</v>
      </c>
      <c r="K308" s="6">
        <v>0.18</v>
      </c>
      <c r="L308" s="2">
        <v>25</v>
      </c>
      <c r="M308" s="7">
        <f>(C308+H308)*E308*F308*G308*I308+J308+L308</f>
        <v>239.72109999999998</v>
      </c>
      <c r="N308" s="8">
        <f>((M308/1.21)-L308)*0.18</f>
        <v>31.160990082644627</v>
      </c>
      <c r="O308" s="9">
        <v>0</v>
      </c>
      <c r="P308" s="8">
        <f t="shared" si="24"/>
        <v>166.7787900826446</v>
      </c>
      <c r="Q308" s="36">
        <f t="shared" si="25"/>
        <v>0.16513586789325793</v>
      </c>
    </row>
    <row r="309" spans="2:17" ht="15.6" customHeight="1" x14ac:dyDescent="0.25">
      <c r="B309" s="104"/>
      <c r="C309" s="39">
        <v>350</v>
      </c>
      <c r="D309" s="32">
        <v>70.989999999999995</v>
      </c>
      <c r="E309" s="2">
        <v>1.37</v>
      </c>
      <c r="F309" s="2">
        <v>1</v>
      </c>
      <c r="G309" s="2">
        <v>1.23</v>
      </c>
      <c r="H309" s="2">
        <v>6.5</v>
      </c>
      <c r="I309" s="2">
        <v>1</v>
      </c>
      <c r="J309" s="2">
        <v>0</v>
      </c>
      <c r="K309" s="6">
        <v>0.18</v>
      </c>
      <c r="L309" s="2">
        <v>30</v>
      </c>
      <c r="M309" s="7">
        <f>(C309+H309)*E309*F309*G309*I309+J309+L309</f>
        <v>630.73815000000002</v>
      </c>
      <c r="N309" s="8">
        <f>((M309/1.21)-L309)*0.18</f>
        <v>88.428815702479341</v>
      </c>
      <c r="O309" s="9">
        <v>0</v>
      </c>
      <c r="P309" s="8">
        <f t="shared" si="24"/>
        <v>454.04661570247936</v>
      </c>
      <c r="Q309" s="36">
        <f t="shared" si="25"/>
        <v>0.13616143427668806</v>
      </c>
    </row>
    <row r="310" spans="2:17" ht="15.6" customHeight="1" x14ac:dyDescent="0.25">
      <c r="B310" s="104"/>
      <c r="C310" s="39">
        <v>500</v>
      </c>
      <c r="D310" s="32">
        <v>70.989999999999995</v>
      </c>
      <c r="E310" s="2">
        <v>1.36</v>
      </c>
      <c r="F310" s="2">
        <v>1</v>
      </c>
      <c r="G310" s="2">
        <v>1.23</v>
      </c>
      <c r="H310" s="2">
        <v>6.5</v>
      </c>
      <c r="I310" s="2">
        <v>1</v>
      </c>
      <c r="J310" s="2">
        <v>0</v>
      </c>
      <c r="K310" s="6">
        <v>0.18</v>
      </c>
      <c r="L310" s="2">
        <v>30</v>
      </c>
      <c r="M310" s="7">
        <f>(C310+H310)*E310*F310*G310*I310+J310+L310</f>
        <v>877.27319999999997</v>
      </c>
      <c r="N310" s="8">
        <f>((M310/1.21)-L310)*0.18</f>
        <v>125.10345123966943</v>
      </c>
      <c r="O310" s="9">
        <v>0</v>
      </c>
      <c r="P310" s="8">
        <f t="shared" si="24"/>
        <v>640.72125123966941</v>
      </c>
      <c r="Q310" s="36">
        <f t="shared" si="25"/>
        <v>0.12357347575692126</v>
      </c>
    </row>
    <row r="311" spans="2:17" ht="15.6" customHeight="1" x14ac:dyDescent="0.25">
      <c r="B311" s="104"/>
      <c r="D311" s="33"/>
      <c r="Q311" s="18"/>
    </row>
    <row r="312" spans="2:17" ht="15.6" customHeight="1" x14ac:dyDescent="0.3">
      <c r="B312" s="104"/>
      <c r="C312" s="107" t="s">
        <v>17</v>
      </c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9"/>
    </row>
    <row r="313" spans="2:17" ht="15.6" customHeight="1" x14ac:dyDescent="0.25">
      <c r="B313" s="104"/>
      <c r="C313" s="1" t="s">
        <v>1</v>
      </c>
      <c r="D313" s="3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2" t="s">
        <v>8</v>
      </c>
      <c r="K313" s="2" t="s">
        <v>9</v>
      </c>
      <c r="L313" s="2" t="s">
        <v>10</v>
      </c>
      <c r="M313" s="2" t="s">
        <v>11</v>
      </c>
      <c r="N313" s="2" t="s">
        <v>12</v>
      </c>
      <c r="O313" s="2" t="s">
        <v>13</v>
      </c>
      <c r="P313" s="2" t="s">
        <v>14</v>
      </c>
      <c r="Q313" s="3" t="s">
        <v>15</v>
      </c>
    </row>
    <row r="314" spans="2:17" ht="15.6" customHeight="1" x14ac:dyDescent="0.25">
      <c r="B314" s="104"/>
      <c r="C314" s="39">
        <v>30</v>
      </c>
      <c r="D314" s="32">
        <v>70.989999999999995</v>
      </c>
      <c r="E314" s="2">
        <v>1.4</v>
      </c>
      <c r="F314" s="2">
        <v>1</v>
      </c>
      <c r="G314" s="2">
        <v>1.23</v>
      </c>
      <c r="H314" s="2">
        <v>4.5</v>
      </c>
      <c r="I314" s="2">
        <v>1</v>
      </c>
      <c r="J314" s="2">
        <v>0</v>
      </c>
      <c r="K314" s="6">
        <v>0.18</v>
      </c>
      <c r="L314" s="2">
        <f>10+18</f>
        <v>28</v>
      </c>
      <c r="M314" s="7">
        <f>(C314+H314)*E314*F314*G314*I314+J314+L314</f>
        <v>87.408999999999992</v>
      </c>
      <c r="N314" s="8">
        <f>((M314/1.21)-L314)*0.18</f>
        <v>7.9629917355371891</v>
      </c>
      <c r="O314" s="9">
        <v>0</v>
      </c>
      <c r="P314" s="8">
        <f>(1-O314)*C314*F314+(D314*0.22)+N314</f>
        <v>53.58079173553719</v>
      </c>
      <c r="Q314" s="36">
        <f>(M314/1.2-P314)/(M314/1.2)</f>
        <v>0.26441270255185823</v>
      </c>
    </row>
    <row r="315" spans="2:17" ht="15.6" customHeight="1" x14ac:dyDescent="0.25">
      <c r="B315" s="104"/>
      <c r="C315" s="39">
        <v>60</v>
      </c>
      <c r="D315" s="32">
        <v>70.989999999999995</v>
      </c>
      <c r="E315" s="2">
        <v>1.39</v>
      </c>
      <c r="F315" s="2">
        <v>1</v>
      </c>
      <c r="G315" s="2">
        <v>1.23</v>
      </c>
      <c r="H315" s="2">
        <v>4.5</v>
      </c>
      <c r="I315" s="2">
        <v>1</v>
      </c>
      <c r="J315" s="2">
        <v>0</v>
      </c>
      <c r="K315" s="6">
        <v>0.18</v>
      </c>
      <c r="L315" s="2">
        <f>19+27</f>
        <v>46</v>
      </c>
      <c r="M315" s="7">
        <f>(C315+H315)*E315*F315*G315*I315+J315+L315</f>
        <v>156.27564999999998</v>
      </c>
      <c r="N315" s="8">
        <f>((M315/1.21)-L315)*0.18</f>
        <v>14.967617355371898</v>
      </c>
      <c r="O315" s="9">
        <v>0</v>
      </c>
      <c r="P315" s="8">
        <f t="shared" ref="P315:P318" si="26">(1-O315)*C315*F315+(D315*0.22)+N315</f>
        <v>90.585417355371902</v>
      </c>
      <c r="Q315" s="36">
        <f t="shared" ref="Q315:Q318" si="27">(M315/1.2-P315)/(M315/1.2)</f>
        <v>0.30441818142208149</v>
      </c>
    </row>
    <row r="316" spans="2:17" ht="15.6" customHeight="1" x14ac:dyDescent="0.25">
      <c r="B316" s="104"/>
      <c r="C316" s="39">
        <v>120</v>
      </c>
      <c r="D316" s="32">
        <v>70.989999999999995</v>
      </c>
      <c r="E316" s="2">
        <v>1.38</v>
      </c>
      <c r="F316" s="2">
        <v>1</v>
      </c>
      <c r="G316" s="2">
        <v>1.23</v>
      </c>
      <c r="H316" s="2">
        <v>4.5</v>
      </c>
      <c r="I316" s="2">
        <v>1</v>
      </c>
      <c r="J316" s="2">
        <v>0</v>
      </c>
      <c r="K316" s="6">
        <v>0.18</v>
      </c>
      <c r="L316" s="2">
        <f>27+37</f>
        <v>64</v>
      </c>
      <c r="M316" s="7">
        <f>(C316+H316)*E316*F316*G316*I316+J316+L316</f>
        <v>275.32629999999995</v>
      </c>
      <c r="N316" s="8">
        <f>((M316/1.21)-L316)*0.18</f>
        <v>29.437631404958669</v>
      </c>
      <c r="O316" s="9">
        <v>0</v>
      </c>
      <c r="P316" s="8">
        <f t="shared" si="26"/>
        <v>165.05543140495865</v>
      </c>
      <c r="Q316" s="36">
        <f t="shared" si="27"/>
        <v>0.28061170441781108</v>
      </c>
    </row>
    <row r="317" spans="2:17" ht="15.6" customHeight="1" x14ac:dyDescent="0.25">
      <c r="B317" s="104"/>
      <c r="C317" s="39">
        <v>350</v>
      </c>
      <c r="D317" s="32">
        <v>70.989999999999995</v>
      </c>
      <c r="E317" s="2">
        <v>1.37</v>
      </c>
      <c r="F317" s="2">
        <v>1</v>
      </c>
      <c r="G317" s="2">
        <v>1.23</v>
      </c>
      <c r="H317" s="2">
        <v>4.5</v>
      </c>
      <c r="I317" s="2">
        <v>1</v>
      </c>
      <c r="J317" s="2">
        <v>0</v>
      </c>
      <c r="K317" s="6">
        <v>0.18</v>
      </c>
      <c r="L317" s="2">
        <f>39+52</f>
        <v>91</v>
      </c>
      <c r="M317" s="7">
        <f>(C317+H317)*E317*F317*G317*I317+J317+L317</f>
        <v>688.36795000000006</v>
      </c>
      <c r="N317" s="8">
        <f>((M317/1.21)-L317)*0.18</f>
        <v>86.021843801652906</v>
      </c>
      <c r="O317" s="9">
        <v>0</v>
      </c>
      <c r="P317" s="8">
        <f t="shared" si="26"/>
        <v>451.63964380165288</v>
      </c>
      <c r="Q317" s="36">
        <f t="shared" si="27"/>
        <v>0.21267750399770446</v>
      </c>
    </row>
    <row r="318" spans="2:17" ht="15.6" customHeight="1" thickBot="1" x14ac:dyDescent="0.3">
      <c r="B318" s="105"/>
      <c r="C318" s="39">
        <v>500</v>
      </c>
      <c r="D318" s="32">
        <v>70.989999999999995</v>
      </c>
      <c r="E318" s="2">
        <v>1.36</v>
      </c>
      <c r="F318" s="2">
        <v>1</v>
      </c>
      <c r="G318" s="2">
        <v>1.23</v>
      </c>
      <c r="H318" s="2">
        <v>4.5</v>
      </c>
      <c r="I318" s="2">
        <v>1</v>
      </c>
      <c r="J318" s="2">
        <v>0</v>
      </c>
      <c r="K318" s="6">
        <v>0.18</v>
      </c>
      <c r="L318" s="2">
        <f>39+52</f>
        <v>91</v>
      </c>
      <c r="M318" s="7">
        <f>(C318+H318)*E318*F318*G318*I318+J318+L318</f>
        <v>934.92759999999998</v>
      </c>
      <c r="N318" s="8">
        <f>((M318/1.21)-L318)*0.18</f>
        <v>122.70013884297521</v>
      </c>
      <c r="O318" s="9">
        <v>0</v>
      </c>
      <c r="P318" s="8">
        <f t="shared" si="26"/>
        <v>638.3179388429752</v>
      </c>
      <c r="Q318" s="36">
        <f t="shared" si="27"/>
        <v>0.18070498013795916</v>
      </c>
    </row>
    <row r="320" spans="2:17" ht="14.45" customHeight="1" thickBot="1" x14ac:dyDescent="0.3"/>
    <row r="321" spans="2:30" ht="14.45" customHeight="1" x14ac:dyDescent="0.25">
      <c r="B321" s="103" t="s">
        <v>104</v>
      </c>
      <c r="C321" s="69" t="s">
        <v>102</v>
      </c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7"/>
    </row>
    <row r="322" spans="2:30" ht="14.45" customHeight="1" x14ac:dyDescent="0.25">
      <c r="B322" s="104"/>
      <c r="C322" s="28"/>
      <c r="O322" s="18"/>
    </row>
    <row r="323" spans="2:30" ht="14.45" customHeight="1" x14ac:dyDescent="0.25">
      <c r="B323" s="104"/>
      <c r="C323" s="28"/>
      <c r="D323" t="s">
        <v>33</v>
      </c>
      <c r="E323" t="s">
        <v>34</v>
      </c>
      <c r="F323" t="s">
        <v>35</v>
      </c>
      <c r="G323" t="s">
        <v>36</v>
      </c>
      <c r="H323" t="s">
        <v>37</v>
      </c>
      <c r="I323" t="s">
        <v>38</v>
      </c>
      <c r="J323" t="s">
        <v>39</v>
      </c>
      <c r="K323" t="s">
        <v>40</v>
      </c>
      <c r="L323" t="s">
        <v>41</v>
      </c>
      <c r="M323" t="s">
        <v>42</v>
      </c>
      <c r="N323" t="s">
        <v>43</v>
      </c>
      <c r="O323" s="18" t="s">
        <v>44</v>
      </c>
      <c r="R323" s="25"/>
      <c r="S323" s="25"/>
      <c r="V323" s="23"/>
      <c r="W323" s="23"/>
      <c r="Y323" s="23"/>
      <c r="Z323" s="25"/>
      <c r="AA323" s="25"/>
      <c r="AB323" s="24"/>
      <c r="AC323" s="46"/>
      <c r="AD323" s="24"/>
    </row>
    <row r="324" spans="2:30" ht="14.45" customHeight="1" x14ac:dyDescent="0.25">
      <c r="B324" s="104"/>
      <c r="C324" s="28" t="s">
        <v>50</v>
      </c>
      <c r="D324">
        <v>10104</v>
      </c>
      <c r="E324" s="47">
        <v>16</v>
      </c>
      <c r="F324" s="47">
        <v>0</v>
      </c>
      <c r="G324" s="47">
        <v>1.43</v>
      </c>
      <c r="H324" s="47">
        <v>1.23</v>
      </c>
      <c r="I324" s="23">
        <v>0</v>
      </c>
      <c r="J324" s="47">
        <f t="shared" ref="J324:J325" si="28">(E324*G324*H324)-I324</f>
        <v>28.142399999999999</v>
      </c>
      <c r="K324" s="47">
        <f>J324/1.21</f>
        <v>23.258181818181818</v>
      </c>
      <c r="L324" s="47">
        <v>0</v>
      </c>
      <c r="M324" s="47">
        <f>K324*0.18</f>
        <v>4.1864727272727267</v>
      </c>
      <c r="N324" s="61">
        <f>((K324+L324)-M324-E324)/(K324+L324)</f>
        <v>0.1320700437773609</v>
      </c>
      <c r="O324" s="62">
        <f>((K324+L324/1.21)-M324-E324-F324)/(K324+L324)</f>
        <v>0.1320700437773609</v>
      </c>
      <c r="R324" s="25"/>
      <c r="S324" s="25"/>
      <c r="V324" s="23"/>
      <c r="W324" s="23"/>
      <c r="Y324" s="23"/>
      <c r="Z324" s="25"/>
      <c r="AA324" s="25"/>
      <c r="AB324" s="24"/>
      <c r="AC324" s="24"/>
      <c r="AD324" s="24"/>
    </row>
    <row r="325" spans="2:30" ht="14.45" customHeight="1" x14ac:dyDescent="0.25">
      <c r="B325" s="104"/>
      <c r="C325" s="28" t="s">
        <v>51</v>
      </c>
      <c r="D325">
        <v>10186</v>
      </c>
      <c r="E325" s="47">
        <v>41</v>
      </c>
      <c r="F325" s="47">
        <v>0</v>
      </c>
      <c r="G325" s="47">
        <v>1.43</v>
      </c>
      <c r="H325" s="47">
        <v>1.23</v>
      </c>
      <c r="I325" s="23">
        <v>12</v>
      </c>
      <c r="J325" s="47">
        <f t="shared" si="28"/>
        <v>60.114899999999992</v>
      </c>
      <c r="K325" s="47">
        <f t="shared" ref="K325:K333" si="29">J325/1.21</f>
        <v>49.681735537190079</v>
      </c>
      <c r="L325" s="47">
        <v>8</v>
      </c>
      <c r="M325" s="47">
        <f t="shared" ref="M325:M333" si="30">K325*0.18</f>
        <v>8.9427123966942137</v>
      </c>
      <c r="N325" s="61">
        <f t="shared" ref="N325:N333" si="31">((K325+L325)-M325-E325)/(K325+L325)</f>
        <v>0.13416765408360781</v>
      </c>
      <c r="O325" s="62">
        <f t="shared" ref="O325:O333" si="32">((K325+L325/1.21)-M325-E325-F325)/(K325+L325)</f>
        <v>0.11009712744054363</v>
      </c>
      <c r="R325" s="25"/>
      <c r="S325" s="25"/>
      <c r="V325" s="23"/>
      <c r="W325" s="23"/>
      <c r="Y325" s="23"/>
      <c r="Z325" s="25"/>
      <c r="AA325" s="25"/>
      <c r="AB325" s="24"/>
      <c r="AC325" s="24"/>
      <c r="AD325" s="24"/>
    </row>
    <row r="326" spans="2:30" ht="14.45" customHeight="1" x14ac:dyDescent="0.25">
      <c r="B326" s="104"/>
      <c r="C326" s="28" t="s">
        <v>52</v>
      </c>
      <c r="D326">
        <v>110092</v>
      </c>
      <c r="E326" s="47">
        <v>66</v>
      </c>
      <c r="F326" s="47">
        <v>0</v>
      </c>
      <c r="G326" s="47">
        <v>1.43</v>
      </c>
      <c r="H326" s="47">
        <v>1.23</v>
      </c>
      <c r="I326" s="23">
        <v>18</v>
      </c>
      <c r="J326" s="47">
        <f>(E326*G326*H326)-I326</f>
        <v>98.087399999999988</v>
      </c>
      <c r="K326" s="47">
        <f t="shared" si="29"/>
        <v>81.063966942148753</v>
      </c>
      <c r="L326" s="47">
        <v>15</v>
      </c>
      <c r="M326" s="47">
        <f t="shared" si="30"/>
        <v>14.591514049586776</v>
      </c>
      <c r="N326" s="61">
        <f t="shared" si="31"/>
        <v>0.16106406371787385</v>
      </c>
      <c r="O326" s="62">
        <f t="shared" si="32"/>
        <v>0.13396435226527773</v>
      </c>
      <c r="R326" s="25"/>
      <c r="S326" s="25"/>
      <c r="V326" s="23"/>
      <c r="W326" s="23"/>
      <c r="Y326" s="23"/>
      <c r="Z326" s="25"/>
      <c r="AA326" s="25"/>
      <c r="AB326" s="24"/>
      <c r="AC326" s="24"/>
      <c r="AD326" s="24"/>
    </row>
    <row r="327" spans="2:30" ht="14.45" customHeight="1" x14ac:dyDescent="0.25">
      <c r="B327" s="104"/>
      <c r="C327" s="28" t="s">
        <v>53</v>
      </c>
      <c r="D327">
        <v>110154</v>
      </c>
      <c r="E327" s="47">
        <v>100</v>
      </c>
      <c r="F327" s="47">
        <v>0</v>
      </c>
      <c r="G327" s="47">
        <v>1.43</v>
      </c>
      <c r="H327" s="47">
        <v>1.23</v>
      </c>
      <c r="I327" s="23">
        <v>28</v>
      </c>
      <c r="J327" s="47">
        <f t="shared" ref="J327:J333" si="33">(E327*G327*H327)-I327</f>
        <v>147.88999999999999</v>
      </c>
      <c r="K327" s="47">
        <f t="shared" si="29"/>
        <v>122.22314049586777</v>
      </c>
      <c r="L327" s="47">
        <v>19</v>
      </c>
      <c r="M327" s="47">
        <f t="shared" si="30"/>
        <v>22.000165289256199</v>
      </c>
      <c r="N327" s="61">
        <f t="shared" si="31"/>
        <v>0.13611774344569286</v>
      </c>
      <c r="O327" s="62">
        <f t="shared" si="32"/>
        <v>0.11276802434456927</v>
      </c>
      <c r="R327" s="25"/>
      <c r="S327" s="25"/>
      <c r="V327" s="23"/>
      <c r="W327" s="23"/>
      <c r="Y327" s="23"/>
      <c r="Z327" s="25"/>
      <c r="AA327" s="25"/>
      <c r="AB327" s="24"/>
      <c r="AC327" s="24"/>
      <c r="AD327" s="24"/>
    </row>
    <row r="328" spans="2:30" ht="14.45" customHeight="1" x14ac:dyDescent="0.25">
      <c r="B328" s="104"/>
      <c r="C328" s="28" t="s">
        <v>54</v>
      </c>
      <c r="D328">
        <v>140216</v>
      </c>
      <c r="E328" s="47">
        <v>140</v>
      </c>
      <c r="F328" s="47">
        <v>0</v>
      </c>
      <c r="G328" s="47">
        <v>1.43</v>
      </c>
      <c r="H328" s="47">
        <v>1.23</v>
      </c>
      <c r="I328" s="23">
        <v>35</v>
      </c>
      <c r="J328" s="47">
        <f t="shared" si="33"/>
        <v>211.24599999999998</v>
      </c>
      <c r="K328" s="47">
        <f t="shared" si="29"/>
        <v>174.58347107438016</v>
      </c>
      <c r="L328" s="47">
        <v>23</v>
      </c>
      <c r="M328" s="47">
        <f t="shared" si="30"/>
        <v>31.425024793388427</v>
      </c>
      <c r="N328" s="61">
        <f t="shared" si="31"/>
        <v>0.13239187538690628</v>
      </c>
      <c r="O328" s="62">
        <f t="shared" si="32"/>
        <v>0.11218909468118921</v>
      </c>
      <c r="R328" s="25"/>
      <c r="S328" s="25"/>
      <c r="V328" s="23"/>
      <c r="W328" s="23"/>
      <c r="Y328" s="23"/>
      <c r="Z328" s="25"/>
      <c r="AA328" s="25"/>
      <c r="AB328" s="24"/>
      <c r="AC328" s="24"/>
      <c r="AD328" s="24"/>
    </row>
    <row r="329" spans="2:30" ht="14.45" customHeight="1" x14ac:dyDescent="0.25">
      <c r="B329" s="104"/>
      <c r="C329" s="28" t="s">
        <v>55</v>
      </c>
      <c r="D329">
        <v>141393</v>
      </c>
      <c r="E329" s="47">
        <v>180</v>
      </c>
      <c r="F329" s="47">
        <v>0</v>
      </c>
      <c r="G329" s="47">
        <v>1.43</v>
      </c>
      <c r="H329" s="47">
        <v>1.23</v>
      </c>
      <c r="I329" s="23">
        <v>44</v>
      </c>
      <c r="J329" s="47">
        <f t="shared" si="33"/>
        <v>272.60199999999998</v>
      </c>
      <c r="K329" s="47">
        <f t="shared" si="29"/>
        <v>225.29090909090908</v>
      </c>
      <c r="L329" s="47">
        <v>27</v>
      </c>
      <c r="M329" s="47">
        <f t="shared" si="30"/>
        <v>40.55236363636363</v>
      </c>
      <c r="N329" s="61">
        <f t="shared" si="31"/>
        <v>0.12580138368405883</v>
      </c>
      <c r="O329" s="62">
        <f t="shared" si="32"/>
        <v>0.10722778374695356</v>
      </c>
      <c r="R329" s="25"/>
      <c r="S329" s="25"/>
      <c r="V329" s="23"/>
      <c r="W329" s="23"/>
      <c r="Y329" s="23"/>
      <c r="Z329" s="25"/>
      <c r="AA329" s="25"/>
      <c r="AB329" s="24"/>
      <c r="AC329" s="24"/>
      <c r="AD329" s="24"/>
    </row>
    <row r="330" spans="2:30" ht="14.45" customHeight="1" x14ac:dyDescent="0.25">
      <c r="B330" s="104"/>
      <c r="C330" s="28" t="s">
        <v>56</v>
      </c>
      <c r="D330">
        <v>141739</v>
      </c>
      <c r="E330" s="47">
        <v>220</v>
      </c>
      <c r="F330" s="47">
        <v>0</v>
      </c>
      <c r="G330" s="47">
        <v>1.43</v>
      </c>
      <c r="H330" s="47">
        <v>1.23</v>
      </c>
      <c r="I330" s="23">
        <v>52</v>
      </c>
      <c r="J330" s="47">
        <f t="shared" si="33"/>
        <v>334.95799999999997</v>
      </c>
      <c r="K330" s="47">
        <f t="shared" si="29"/>
        <v>276.82479338842973</v>
      </c>
      <c r="L330" s="47">
        <v>33</v>
      </c>
      <c r="M330" s="47">
        <f t="shared" si="30"/>
        <v>49.828462809917347</v>
      </c>
      <c r="N330" s="61">
        <f t="shared" si="31"/>
        <v>0.12909338255692354</v>
      </c>
      <c r="O330" s="62">
        <f t="shared" si="32"/>
        <v>0.11060786154798223</v>
      </c>
      <c r="R330" s="25"/>
      <c r="S330" s="25"/>
      <c r="V330" s="23"/>
      <c r="W330" s="23"/>
      <c r="Y330" s="23"/>
      <c r="Z330" s="25"/>
      <c r="AA330" s="25"/>
      <c r="AB330" s="24"/>
      <c r="AC330" s="24"/>
      <c r="AD330" s="24"/>
    </row>
    <row r="331" spans="2:30" ht="14.45" customHeight="1" x14ac:dyDescent="0.25">
      <c r="B331" s="104"/>
      <c r="C331" s="28" t="s">
        <v>57</v>
      </c>
      <c r="D331">
        <v>3053220</v>
      </c>
      <c r="E331" s="47">
        <v>260</v>
      </c>
      <c r="F331" s="47">
        <v>0</v>
      </c>
      <c r="G331" s="47">
        <v>1.43</v>
      </c>
      <c r="H331" s="47">
        <v>1.23</v>
      </c>
      <c r="I331" s="23">
        <v>61</v>
      </c>
      <c r="J331" s="47">
        <f t="shared" si="33"/>
        <v>396.31400000000002</v>
      </c>
      <c r="K331" s="47">
        <f t="shared" si="29"/>
        <v>327.53223140495868</v>
      </c>
      <c r="L331" s="47">
        <v>36</v>
      </c>
      <c r="M331" s="47">
        <f t="shared" si="30"/>
        <v>58.955801652892561</v>
      </c>
      <c r="N331" s="61">
        <f t="shared" si="31"/>
        <v>0.12262029581198257</v>
      </c>
      <c r="O331" s="62">
        <f t="shared" si="32"/>
        <v>0.10543355597284677</v>
      </c>
      <c r="R331" s="25"/>
      <c r="S331" s="25"/>
      <c r="V331" s="23"/>
      <c r="W331" s="23"/>
      <c r="Y331" s="23"/>
      <c r="Z331" s="25"/>
      <c r="AA331" s="25"/>
      <c r="AB331" s="24"/>
      <c r="AC331" s="24"/>
      <c r="AD331" s="24"/>
    </row>
    <row r="332" spans="2:30" ht="14.45" customHeight="1" x14ac:dyDescent="0.25">
      <c r="B332" s="104"/>
      <c r="C332" s="28" t="s">
        <v>58</v>
      </c>
      <c r="D332">
        <v>3087090</v>
      </c>
      <c r="E332" s="47">
        <v>410</v>
      </c>
      <c r="F332" s="47">
        <v>0</v>
      </c>
      <c r="G332" s="47">
        <v>1.43</v>
      </c>
      <c r="H332" s="47">
        <v>1.23</v>
      </c>
      <c r="I332" s="23">
        <v>70</v>
      </c>
      <c r="J332" s="47">
        <f t="shared" si="33"/>
        <v>651.14899999999989</v>
      </c>
      <c r="K332" s="47">
        <f t="shared" si="29"/>
        <v>538.1396694214875</v>
      </c>
      <c r="L332" s="47">
        <v>39</v>
      </c>
      <c r="M332" s="47">
        <f t="shared" si="30"/>
        <v>96.865140495867749</v>
      </c>
      <c r="N332" s="61">
        <f t="shared" si="31"/>
        <v>0.12176347017709149</v>
      </c>
      <c r="O332" s="62">
        <f t="shared" si="32"/>
        <v>0.11003564171555631</v>
      </c>
      <c r="R332" s="25"/>
      <c r="S332" s="25"/>
      <c r="V332" s="23"/>
      <c r="W332" s="23"/>
      <c r="Y332" s="23"/>
      <c r="Z332" s="25"/>
      <c r="AA332" s="25"/>
      <c r="AB332" s="24"/>
      <c r="AC332" s="24"/>
      <c r="AD332" s="24"/>
    </row>
    <row r="333" spans="2:30" ht="14.45" customHeight="1" x14ac:dyDescent="0.25">
      <c r="B333" s="104"/>
      <c r="C333" s="28" t="s">
        <v>59</v>
      </c>
      <c r="D333">
        <v>3098005</v>
      </c>
      <c r="E333" s="47">
        <v>900</v>
      </c>
      <c r="F333" s="47">
        <v>0</v>
      </c>
      <c r="G333" s="47">
        <v>1.43</v>
      </c>
      <c r="H333" s="47">
        <v>1.23</v>
      </c>
      <c r="I333" s="23">
        <v>94</v>
      </c>
      <c r="J333" s="47">
        <f t="shared" si="33"/>
        <v>1489.01</v>
      </c>
      <c r="K333" s="47">
        <f t="shared" si="29"/>
        <v>1230.5867768595042</v>
      </c>
      <c r="L333" s="47">
        <v>43</v>
      </c>
      <c r="M333" s="47">
        <f t="shared" si="30"/>
        <v>221.50561983471076</v>
      </c>
      <c r="N333" s="61">
        <f t="shared" si="31"/>
        <v>0.11941169599750814</v>
      </c>
      <c r="O333" s="62">
        <f t="shared" si="32"/>
        <v>0.11355201681980999</v>
      </c>
      <c r="AC333" s="24"/>
      <c r="AD333" s="24"/>
    </row>
    <row r="334" spans="2:30" ht="14.45" customHeight="1" thickBot="1" x14ac:dyDescent="0.3">
      <c r="B334" s="104"/>
      <c r="C334" s="29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1"/>
      <c r="AC334" s="24"/>
      <c r="AD334" s="24"/>
    </row>
    <row r="335" spans="2:30" ht="14.45" customHeight="1" x14ac:dyDescent="0.25">
      <c r="B335" s="104"/>
      <c r="O335" s="18"/>
      <c r="AC335" s="24"/>
      <c r="AD335" s="24"/>
    </row>
    <row r="336" spans="2:30" ht="14.45" customHeight="1" x14ac:dyDescent="0.25">
      <c r="B336" s="104"/>
      <c r="C336" t="s">
        <v>103</v>
      </c>
      <c r="O336" s="18"/>
      <c r="AC336" s="24"/>
      <c r="AD336" s="24"/>
    </row>
    <row r="337" spans="2:30" ht="14.45" customHeight="1" x14ac:dyDescent="0.25">
      <c r="B337" s="104"/>
      <c r="I337" t="s">
        <v>49</v>
      </c>
      <c r="O337" s="18"/>
      <c r="AC337" s="24"/>
      <c r="AD337" s="24"/>
    </row>
    <row r="338" spans="2:30" ht="14.45" customHeight="1" x14ac:dyDescent="0.25">
      <c r="B338" s="104"/>
      <c r="C338" t="s">
        <v>45</v>
      </c>
      <c r="D338" t="s">
        <v>33</v>
      </c>
      <c r="E338" t="s">
        <v>34</v>
      </c>
      <c r="F338" t="s">
        <v>35</v>
      </c>
      <c r="G338" t="s">
        <v>36</v>
      </c>
      <c r="H338" t="s">
        <v>37</v>
      </c>
      <c r="I338" t="s">
        <v>46</v>
      </c>
      <c r="J338" t="s">
        <v>39</v>
      </c>
      <c r="K338" t="s">
        <v>40</v>
      </c>
      <c r="L338" t="s">
        <v>41</v>
      </c>
      <c r="M338" t="s">
        <v>42</v>
      </c>
      <c r="N338" t="s">
        <v>43</v>
      </c>
      <c r="O338" s="18" t="s">
        <v>44</v>
      </c>
      <c r="R338" s="25"/>
      <c r="S338" s="25"/>
      <c r="W338" s="23"/>
      <c r="X338" s="23"/>
      <c r="Z338" s="23"/>
      <c r="AA338" s="25"/>
      <c r="AB338" s="25"/>
      <c r="AC338" s="24"/>
      <c r="AD338" s="24"/>
    </row>
    <row r="339" spans="2:30" ht="14.45" customHeight="1" x14ac:dyDescent="0.25">
      <c r="B339" s="104"/>
      <c r="C339" t="s">
        <v>50</v>
      </c>
      <c r="D339">
        <v>332160</v>
      </c>
      <c r="E339" s="47">
        <v>16</v>
      </c>
      <c r="F339">
        <v>0</v>
      </c>
      <c r="G339">
        <v>1.42</v>
      </c>
      <c r="H339">
        <v>1.23</v>
      </c>
      <c r="I339">
        <v>0</v>
      </c>
      <c r="J339" s="23">
        <f>(E339*G339*H339)-I339</f>
        <v>27.945599999999999</v>
      </c>
      <c r="K339" s="23">
        <f>J339/1.21</f>
        <v>23.095537190082645</v>
      </c>
      <c r="L339">
        <v>5</v>
      </c>
      <c r="M339" s="23">
        <f>K339*0.18</f>
        <v>4.1571966942148757</v>
      </c>
      <c r="N339" s="61">
        <f>((K339+L339)-M339-E339)/(K339+L339)</f>
        <v>0.28254809445928303</v>
      </c>
      <c r="O339" s="62">
        <f>((K339+L339/1.21)-M339-E339-F339)/(K339+L339)</f>
        <v>0.25166174446104794</v>
      </c>
      <c r="R339" s="25"/>
      <c r="S339" s="25"/>
      <c r="W339" s="23"/>
      <c r="X339" s="23"/>
      <c r="Z339" s="23"/>
      <c r="AA339" s="25"/>
      <c r="AB339" s="25"/>
      <c r="AC339" s="24"/>
      <c r="AD339" s="24"/>
    </row>
    <row r="340" spans="2:30" ht="14.45" customHeight="1" x14ac:dyDescent="0.25">
      <c r="B340" s="104"/>
      <c r="C340" t="s">
        <v>51</v>
      </c>
      <c r="D340">
        <v>311753</v>
      </c>
      <c r="E340" s="47">
        <v>41</v>
      </c>
      <c r="F340">
        <v>0</v>
      </c>
      <c r="G340">
        <v>1.42</v>
      </c>
      <c r="H340">
        <v>1.23</v>
      </c>
      <c r="I340">
        <v>11</v>
      </c>
      <c r="J340" s="23">
        <f>(E340*G340*H340)-I340</f>
        <v>60.610599999999991</v>
      </c>
      <c r="K340" s="23">
        <f t="shared" ref="K340:K348" si="34">J340/1.21</f>
        <v>50.091404958677678</v>
      </c>
      <c r="L340">
        <v>7</v>
      </c>
      <c r="M340" s="23">
        <f t="shared" ref="M340:M348" si="35">K340*0.18</f>
        <v>9.0164528925619809</v>
      </c>
      <c r="N340" s="61">
        <f t="shared" ref="N340:N348" si="36">((K340+L340)-M340-E340)/(K340+L340)</f>
        <v>0.12392324328393206</v>
      </c>
      <c r="O340" s="62">
        <f t="shared" ref="O340:O348" si="37">((K340+L340/1.21)-M340-E340-F340)/(K340+L340)</f>
        <v>0.10264375237041949</v>
      </c>
      <c r="R340" s="25"/>
      <c r="S340" s="25"/>
      <c r="W340" s="23"/>
      <c r="X340" s="23"/>
      <c r="Z340" s="23"/>
      <c r="AA340" s="25"/>
      <c r="AB340" s="25"/>
      <c r="AC340" s="24"/>
      <c r="AD340" s="24"/>
    </row>
    <row r="341" spans="2:30" ht="14.45" customHeight="1" x14ac:dyDescent="0.25">
      <c r="B341" s="104"/>
      <c r="C341" t="s">
        <v>52</v>
      </c>
      <c r="D341">
        <v>315500</v>
      </c>
      <c r="E341" s="47">
        <v>66</v>
      </c>
      <c r="F341">
        <v>0</v>
      </c>
      <c r="G341">
        <v>1.42</v>
      </c>
      <c r="H341">
        <v>1.23</v>
      </c>
      <c r="I341">
        <v>16</v>
      </c>
      <c r="J341" s="23">
        <f t="shared" ref="J341:J348" si="38">(E341*G341*H341)-I341</f>
        <v>99.275599999999997</v>
      </c>
      <c r="K341" s="23">
        <f t="shared" si="34"/>
        <v>82.045950413223139</v>
      </c>
      <c r="L341">
        <v>10</v>
      </c>
      <c r="M341" s="23">
        <f t="shared" si="35"/>
        <v>14.768271074380165</v>
      </c>
      <c r="N341" s="61">
        <f t="shared" si="36"/>
        <v>0.12252227597427082</v>
      </c>
      <c r="O341" s="62">
        <f t="shared" si="37"/>
        <v>0.10366715869544141</v>
      </c>
      <c r="R341" s="25"/>
      <c r="S341" s="25"/>
      <c r="W341" s="23"/>
      <c r="X341" s="23"/>
      <c r="Z341" s="23"/>
      <c r="AA341" s="25"/>
      <c r="AB341" s="25"/>
      <c r="AC341" s="24"/>
      <c r="AD341" s="24"/>
    </row>
    <row r="342" spans="2:30" ht="14.45" customHeight="1" x14ac:dyDescent="0.25">
      <c r="B342" s="104"/>
      <c r="C342" t="s">
        <v>53</v>
      </c>
      <c r="D342">
        <v>316653</v>
      </c>
      <c r="E342" s="47">
        <v>100</v>
      </c>
      <c r="F342">
        <v>0</v>
      </c>
      <c r="G342">
        <v>1.42</v>
      </c>
      <c r="H342">
        <v>1.23</v>
      </c>
      <c r="I342">
        <v>25</v>
      </c>
      <c r="J342" s="23">
        <f t="shared" si="38"/>
        <v>149.66</v>
      </c>
      <c r="K342" s="23">
        <f t="shared" si="34"/>
        <v>123.68595041322314</v>
      </c>
      <c r="L342">
        <v>16</v>
      </c>
      <c r="M342" s="23">
        <f t="shared" si="35"/>
        <v>22.263471074380163</v>
      </c>
      <c r="N342" s="61">
        <f t="shared" si="36"/>
        <v>0.12472606792095611</v>
      </c>
      <c r="O342" s="62">
        <f t="shared" si="37"/>
        <v>0.10484676369660395</v>
      </c>
      <c r="R342" s="25"/>
      <c r="S342" s="25"/>
      <c r="W342" s="23"/>
      <c r="X342" s="23"/>
      <c r="Z342" s="23"/>
      <c r="AA342" s="25"/>
      <c r="AB342" s="25"/>
      <c r="AC342" s="24"/>
      <c r="AD342" s="24"/>
    </row>
    <row r="343" spans="2:30" ht="14.45" customHeight="1" x14ac:dyDescent="0.25">
      <c r="B343" s="104"/>
      <c r="C343" t="s">
        <v>54</v>
      </c>
      <c r="D343">
        <v>810725</v>
      </c>
      <c r="E343" s="47">
        <v>140</v>
      </c>
      <c r="F343">
        <v>0</v>
      </c>
      <c r="G343">
        <v>1.42</v>
      </c>
      <c r="H343">
        <v>1.23</v>
      </c>
      <c r="I343">
        <v>32</v>
      </c>
      <c r="J343" s="23">
        <f t="shared" si="38"/>
        <v>212.52399999999997</v>
      </c>
      <c r="K343" s="23">
        <f t="shared" si="34"/>
        <v>175.63966942148758</v>
      </c>
      <c r="L343">
        <v>19</v>
      </c>
      <c r="M343" s="23">
        <f t="shared" si="35"/>
        <v>31.615140495867763</v>
      </c>
      <c r="N343" s="61">
        <f t="shared" si="36"/>
        <v>0.11829309510262653</v>
      </c>
      <c r="O343" s="62">
        <f t="shared" si="37"/>
        <v>0.10135142709138305</v>
      </c>
      <c r="R343" s="25"/>
      <c r="S343" s="25"/>
      <c r="W343" s="23"/>
      <c r="X343" s="23"/>
      <c r="Z343" s="23"/>
      <c r="AA343" s="25"/>
      <c r="AB343" s="25"/>
      <c r="AC343" s="24"/>
      <c r="AD343" s="24"/>
    </row>
    <row r="344" spans="2:30" ht="14.45" customHeight="1" x14ac:dyDescent="0.25">
      <c r="B344" s="104"/>
      <c r="C344" t="s">
        <v>55</v>
      </c>
      <c r="D344">
        <v>46726</v>
      </c>
      <c r="E344" s="47">
        <v>180</v>
      </c>
      <c r="F344">
        <v>0</v>
      </c>
      <c r="G344">
        <v>1.42</v>
      </c>
      <c r="H344">
        <v>1.23</v>
      </c>
      <c r="I344">
        <v>40</v>
      </c>
      <c r="J344" s="23">
        <f t="shared" si="38"/>
        <v>274.38799999999998</v>
      </c>
      <c r="K344" s="23">
        <f t="shared" si="34"/>
        <v>226.76694214876031</v>
      </c>
      <c r="L344">
        <v>24</v>
      </c>
      <c r="M344" s="23">
        <f t="shared" si="35"/>
        <v>40.818049586776851</v>
      </c>
      <c r="N344" s="61">
        <f t="shared" si="36"/>
        <v>0.11942918913218288</v>
      </c>
      <c r="O344" s="62">
        <f t="shared" si="37"/>
        <v>0.10281898835967671</v>
      </c>
      <c r="R344" s="25"/>
      <c r="S344" s="25"/>
      <c r="W344" s="23"/>
      <c r="X344" s="23"/>
      <c r="Z344" s="23"/>
      <c r="AA344" s="25"/>
      <c r="AB344" s="25"/>
      <c r="AC344" s="24"/>
      <c r="AD344" s="24"/>
    </row>
    <row r="345" spans="2:30" ht="14.45" customHeight="1" x14ac:dyDescent="0.25">
      <c r="B345" s="104"/>
      <c r="C345" t="s">
        <v>56</v>
      </c>
      <c r="D345">
        <v>3104987</v>
      </c>
      <c r="E345" s="47">
        <v>220</v>
      </c>
      <c r="F345">
        <v>0</v>
      </c>
      <c r="G345">
        <v>1.42</v>
      </c>
      <c r="H345">
        <v>1.23</v>
      </c>
      <c r="I345">
        <v>47</v>
      </c>
      <c r="J345" s="23">
        <f t="shared" si="38"/>
        <v>337.25199999999995</v>
      </c>
      <c r="K345" s="23">
        <f t="shared" si="34"/>
        <v>278.72066115702478</v>
      </c>
      <c r="L345">
        <v>28</v>
      </c>
      <c r="M345" s="23">
        <f t="shared" si="35"/>
        <v>50.169719008264458</v>
      </c>
      <c r="N345" s="61">
        <f t="shared" si="36"/>
        <v>0.11916687324186542</v>
      </c>
      <c r="O345" s="62">
        <f t="shared" si="37"/>
        <v>0.10332345364991435</v>
      </c>
      <c r="R345" s="25"/>
      <c r="S345" s="25"/>
      <c r="W345" s="23"/>
      <c r="X345" s="23"/>
      <c r="Z345" s="23"/>
      <c r="AA345" s="25"/>
      <c r="AB345" s="25"/>
      <c r="AC345" s="24"/>
      <c r="AD345" s="24"/>
    </row>
    <row r="346" spans="2:30" ht="14.45" customHeight="1" x14ac:dyDescent="0.25">
      <c r="B346" s="104"/>
      <c r="C346" t="s">
        <v>57</v>
      </c>
      <c r="D346">
        <v>314589</v>
      </c>
      <c r="E346" s="47">
        <v>260</v>
      </c>
      <c r="F346">
        <v>0</v>
      </c>
      <c r="G346">
        <v>1.42</v>
      </c>
      <c r="H346">
        <v>1.23</v>
      </c>
      <c r="I346">
        <v>55</v>
      </c>
      <c r="J346" s="23">
        <f t="shared" si="38"/>
        <v>399.11599999999999</v>
      </c>
      <c r="K346" s="23">
        <f t="shared" si="34"/>
        <v>329.8479338842975</v>
      </c>
      <c r="L346">
        <v>31</v>
      </c>
      <c r="M346" s="23">
        <f t="shared" si="35"/>
        <v>59.372628099173546</v>
      </c>
      <c r="N346" s="61">
        <f t="shared" si="36"/>
        <v>0.11493845991764118</v>
      </c>
      <c r="O346" s="62">
        <f t="shared" si="37"/>
        <v>0.10002867442616797</v>
      </c>
      <c r="R346" s="25"/>
      <c r="S346" s="25"/>
      <c r="W346" s="23"/>
      <c r="X346" s="23"/>
      <c r="Z346" s="23"/>
      <c r="AA346" s="25"/>
      <c r="AB346" s="25"/>
      <c r="AC346" s="24"/>
      <c r="AD346" s="24"/>
    </row>
    <row r="347" spans="2:30" ht="14.45" customHeight="1" x14ac:dyDescent="0.25">
      <c r="B347" s="104"/>
      <c r="C347" t="s">
        <v>58</v>
      </c>
      <c r="D347">
        <v>3080729</v>
      </c>
      <c r="E347" s="47">
        <v>410</v>
      </c>
      <c r="F347">
        <v>0</v>
      </c>
      <c r="G347">
        <v>1.42</v>
      </c>
      <c r="H347">
        <v>1.23</v>
      </c>
      <c r="I347">
        <v>64</v>
      </c>
      <c r="J347" s="23">
        <f t="shared" si="38"/>
        <v>652.10599999999988</v>
      </c>
      <c r="K347" s="23">
        <f t="shared" si="34"/>
        <v>538.93057851239666</v>
      </c>
      <c r="L347">
        <v>33</v>
      </c>
      <c r="M347" s="23">
        <f t="shared" si="35"/>
        <v>97.007504132231389</v>
      </c>
      <c r="N347" s="61">
        <f t="shared" si="36"/>
        <v>0.11351565525492896</v>
      </c>
      <c r="O347" s="62">
        <f t="shared" si="37"/>
        <v>0.10350172534376824</v>
      </c>
      <c r="R347" s="25"/>
      <c r="S347" s="25"/>
      <c r="W347" s="23"/>
      <c r="X347" s="23"/>
      <c r="Z347" s="23"/>
      <c r="AA347" s="25"/>
      <c r="AB347" s="25"/>
      <c r="AC347" s="24"/>
      <c r="AD347" s="24"/>
    </row>
    <row r="348" spans="2:30" ht="14.45" customHeight="1" thickBot="1" x14ac:dyDescent="0.3">
      <c r="B348" s="105"/>
      <c r="C348" s="30" t="s">
        <v>59</v>
      </c>
      <c r="D348" s="30">
        <v>3070755</v>
      </c>
      <c r="E348" s="63">
        <v>900</v>
      </c>
      <c r="F348" s="30">
        <v>0</v>
      </c>
      <c r="G348" s="30">
        <v>1.42</v>
      </c>
      <c r="H348" s="30">
        <v>1.23</v>
      </c>
      <c r="I348" s="30">
        <v>85</v>
      </c>
      <c r="J348" s="64">
        <f t="shared" si="38"/>
        <v>1486.94</v>
      </c>
      <c r="K348" s="64">
        <f t="shared" si="34"/>
        <v>1228.8760330578514</v>
      </c>
      <c r="L348" s="30">
        <v>38</v>
      </c>
      <c r="M348" s="64">
        <f t="shared" si="35"/>
        <v>221.19768595041324</v>
      </c>
      <c r="N348" s="65">
        <f t="shared" si="36"/>
        <v>0.11499021475354237</v>
      </c>
      <c r="O348" s="66">
        <f t="shared" si="37"/>
        <v>0.10978446363802428</v>
      </c>
    </row>
    <row r="350" spans="2:30" ht="14.45" customHeight="1" thickBot="1" x14ac:dyDescent="0.3"/>
    <row r="351" spans="2:30" ht="14.45" customHeight="1" x14ac:dyDescent="0.25">
      <c r="B351" s="103" t="s">
        <v>105</v>
      </c>
      <c r="C351" s="69" t="s">
        <v>102</v>
      </c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7"/>
    </row>
    <row r="352" spans="2:30" ht="14.45" customHeight="1" x14ac:dyDescent="0.25">
      <c r="B352" s="104"/>
      <c r="C352" s="28"/>
      <c r="P352" s="18"/>
      <c r="R352" s="25"/>
      <c r="S352" s="25"/>
    </row>
    <row r="353" spans="2:20" ht="14.45" customHeight="1" x14ac:dyDescent="0.25">
      <c r="B353" s="104"/>
      <c r="C353" s="28"/>
      <c r="D353" t="s">
        <v>33</v>
      </c>
      <c r="E353" t="s">
        <v>34</v>
      </c>
      <c r="F353" t="s">
        <v>35</v>
      </c>
      <c r="G353" t="s">
        <v>36</v>
      </c>
      <c r="H353" t="s">
        <v>37</v>
      </c>
      <c r="I353" t="s">
        <v>38</v>
      </c>
      <c r="J353" t="s">
        <v>39</v>
      </c>
      <c r="K353" t="s">
        <v>40</v>
      </c>
      <c r="L353" t="s">
        <v>99</v>
      </c>
      <c r="M353" t="s">
        <v>42</v>
      </c>
      <c r="N353" t="s">
        <v>43</v>
      </c>
      <c r="O353" t="s">
        <v>44</v>
      </c>
      <c r="P353" s="18" t="s">
        <v>100</v>
      </c>
      <c r="R353" s="25"/>
      <c r="S353" s="25"/>
    </row>
    <row r="354" spans="2:20" ht="14.45" customHeight="1" x14ac:dyDescent="0.25">
      <c r="B354" s="104"/>
      <c r="C354" s="28" t="s">
        <v>50</v>
      </c>
      <c r="D354">
        <v>10104</v>
      </c>
      <c r="E354" s="47">
        <v>16</v>
      </c>
      <c r="F354" s="47">
        <v>9.57</v>
      </c>
      <c r="G354" s="47">
        <v>1.44</v>
      </c>
      <c r="H354" s="47">
        <v>1.23</v>
      </c>
      <c r="I354" s="23">
        <v>0</v>
      </c>
      <c r="J354" s="47">
        <f t="shared" ref="J354:J355" si="39">(E354*G354*H354)-I354</f>
        <v>28.339199999999998</v>
      </c>
      <c r="K354" s="47">
        <f>J354/1.21</f>
        <v>23.420826446280991</v>
      </c>
      <c r="L354" s="47">
        <v>13</v>
      </c>
      <c r="M354" s="47">
        <f>K354*0.18</f>
        <v>4.2157487603305785</v>
      </c>
      <c r="N354" s="61">
        <f>((K354+L354)-M354-E354)/(K354+L354)</f>
        <v>0.44493986729961066</v>
      </c>
      <c r="O354" s="61">
        <f>((K354+L354/1.21)-M354-E354-F354)/(K354+L354)</f>
        <v>0.12023009267243344</v>
      </c>
      <c r="P354" s="67">
        <f t="shared" ref="P354:P363" si="40">L354-L324</f>
        <v>13</v>
      </c>
      <c r="R354" s="25"/>
      <c r="S354" s="25"/>
    </row>
    <row r="355" spans="2:20" ht="14.45" customHeight="1" x14ac:dyDescent="0.25">
      <c r="B355" s="104"/>
      <c r="C355" s="28" t="s">
        <v>51</v>
      </c>
      <c r="D355">
        <v>10186</v>
      </c>
      <c r="E355" s="47">
        <v>41</v>
      </c>
      <c r="F355" s="47">
        <v>13.82</v>
      </c>
      <c r="G355" s="47">
        <v>1.44</v>
      </c>
      <c r="H355" s="47">
        <v>1.23</v>
      </c>
      <c r="I355" s="23">
        <v>12</v>
      </c>
      <c r="J355" s="47">
        <f t="shared" si="39"/>
        <v>60.619199999999992</v>
      </c>
      <c r="K355" s="47">
        <f t="shared" ref="K355:K363" si="41">J355/1.21</f>
        <v>50.098512396694211</v>
      </c>
      <c r="L355" s="47">
        <v>27</v>
      </c>
      <c r="M355" s="47">
        <f t="shared" ref="M355:M363" si="42">K355*0.18</f>
        <v>9.0177322314049579</v>
      </c>
      <c r="N355" s="61">
        <f t="shared" ref="N355:N363" si="43">((K355+L355)-M355-E355)/(K355+L355)</f>
        <v>0.3512490620564867</v>
      </c>
      <c r="O355" s="61">
        <f t="shared" ref="O355:O363" si="44">((K355+L355/1.21)-M355-E355-F355)/(K355+L355)</f>
        <v>0.11121913361889701</v>
      </c>
      <c r="P355" s="67">
        <f t="shared" si="40"/>
        <v>19</v>
      </c>
      <c r="R355" s="25"/>
      <c r="S355" s="25"/>
    </row>
    <row r="356" spans="2:20" ht="14.45" customHeight="1" x14ac:dyDescent="0.25">
      <c r="B356" s="104"/>
      <c r="C356" s="28" t="s">
        <v>52</v>
      </c>
      <c r="D356">
        <v>110092</v>
      </c>
      <c r="E356" s="47">
        <v>66</v>
      </c>
      <c r="F356" s="47">
        <v>18.079999999999998</v>
      </c>
      <c r="G356" s="47">
        <v>1.44</v>
      </c>
      <c r="H356" s="47">
        <v>1.23</v>
      </c>
      <c r="I356" s="23">
        <v>18</v>
      </c>
      <c r="J356" s="47">
        <f>(E356*G356*H356)-I356</f>
        <v>98.899199999999993</v>
      </c>
      <c r="K356" s="47">
        <f t="shared" si="41"/>
        <v>81.734876033057844</v>
      </c>
      <c r="L356" s="47">
        <v>36</v>
      </c>
      <c r="M356" s="47">
        <f t="shared" si="42"/>
        <v>14.712277685950411</v>
      </c>
      <c r="N356" s="61">
        <f t="shared" si="43"/>
        <v>0.31445736042319483</v>
      </c>
      <c r="O356" s="61">
        <f t="shared" si="44"/>
        <v>0.1078241629884205</v>
      </c>
      <c r="P356" s="67">
        <f t="shared" si="40"/>
        <v>21</v>
      </c>
      <c r="R356" s="25"/>
      <c r="S356" s="25"/>
    </row>
    <row r="357" spans="2:20" ht="14.45" customHeight="1" x14ac:dyDescent="0.25">
      <c r="B357" s="104"/>
      <c r="C357" s="28" t="s">
        <v>53</v>
      </c>
      <c r="D357">
        <v>110154</v>
      </c>
      <c r="E357" s="47">
        <v>100</v>
      </c>
      <c r="F357" s="47">
        <v>22.33</v>
      </c>
      <c r="G357" s="47">
        <v>1.44</v>
      </c>
      <c r="H357" s="47">
        <v>1.23</v>
      </c>
      <c r="I357" s="23">
        <v>28</v>
      </c>
      <c r="J357" s="47">
        <f t="shared" ref="J357:J363" si="45">(E357*G357*H357)-I357</f>
        <v>149.12</v>
      </c>
      <c r="K357" s="47">
        <f t="shared" si="41"/>
        <v>123.2396694214876</v>
      </c>
      <c r="L357" s="47">
        <v>47</v>
      </c>
      <c r="M357" s="47">
        <f t="shared" si="42"/>
        <v>22.183140495867768</v>
      </c>
      <c r="N357" s="61">
        <f t="shared" si="43"/>
        <v>0.28228748968396522</v>
      </c>
      <c r="O357" s="61">
        <f t="shared" si="44"/>
        <v>0.10320452449148006</v>
      </c>
      <c r="P357" s="67">
        <f t="shared" si="40"/>
        <v>28</v>
      </c>
      <c r="R357" s="25"/>
      <c r="S357" s="25"/>
    </row>
    <row r="358" spans="2:20" ht="14.45" customHeight="1" x14ac:dyDescent="0.25">
      <c r="B358" s="104"/>
      <c r="C358" s="28" t="s">
        <v>54</v>
      </c>
      <c r="D358">
        <v>140216</v>
      </c>
      <c r="E358" s="47">
        <v>140</v>
      </c>
      <c r="F358" s="47">
        <v>26.58</v>
      </c>
      <c r="G358" s="47">
        <v>1.44</v>
      </c>
      <c r="H358" s="47">
        <v>1.23</v>
      </c>
      <c r="I358" s="23">
        <v>35</v>
      </c>
      <c r="J358" s="47">
        <f t="shared" si="45"/>
        <v>212.96799999999999</v>
      </c>
      <c r="K358" s="47">
        <f t="shared" si="41"/>
        <v>176.00661157024794</v>
      </c>
      <c r="L358" s="47">
        <v>55</v>
      </c>
      <c r="M358" s="47">
        <f t="shared" si="42"/>
        <v>31.68119008264463</v>
      </c>
      <c r="N358" s="61">
        <f t="shared" si="43"/>
        <v>0.25681265607223863</v>
      </c>
      <c r="O358" s="61">
        <f t="shared" si="44"/>
        <v>0.10042988286979736</v>
      </c>
      <c r="P358" s="67">
        <f t="shared" si="40"/>
        <v>32</v>
      </c>
      <c r="R358" s="25"/>
      <c r="S358" s="25"/>
    </row>
    <row r="359" spans="2:20" ht="14.45" customHeight="1" x14ac:dyDescent="0.25">
      <c r="B359" s="104"/>
      <c r="C359" s="28" t="s">
        <v>55</v>
      </c>
      <c r="D359">
        <v>141393</v>
      </c>
      <c r="E359" s="47">
        <v>180</v>
      </c>
      <c r="F359" s="47">
        <v>30.84</v>
      </c>
      <c r="G359" s="47">
        <v>1.44</v>
      </c>
      <c r="H359" s="47">
        <v>1.23</v>
      </c>
      <c r="I359" s="23">
        <v>44</v>
      </c>
      <c r="J359" s="47">
        <f t="shared" si="45"/>
        <v>274.81599999999997</v>
      </c>
      <c r="K359" s="47">
        <f t="shared" si="41"/>
        <v>227.12066115702478</v>
      </c>
      <c r="L359" s="47">
        <v>66</v>
      </c>
      <c r="M359" s="47">
        <f t="shared" si="42"/>
        <v>40.881719008264461</v>
      </c>
      <c r="N359" s="61">
        <f t="shared" si="43"/>
        <v>0.24644780024585808</v>
      </c>
      <c r="O359" s="61">
        <f t="shared" si="44"/>
        <v>0.10215723646370201</v>
      </c>
      <c r="P359" s="67">
        <f t="shared" si="40"/>
        <v>39</v>
      </c>
      <c r="R359" s="25"/>
      <c r="S359" s="25"/>
    </row>
    <row r="360" spans="2:20" ht="14.45" customHeight="1" x14ac:dyDescent="0.25">
      <c r="B360" s="104"/>
      <c r="C360" s="28" t="s">
        <v>56</v>
      </c>
      <c r="D360">
        <v>141739</v>
      </c>
      <c r="E360" s="47">
        <v>220</v>
      </c>
      <c r="F360" s="47">
        <v>35.090000000000003</v>
      </c>
      <c r="G360" s="47">
        <v>1.44</v>
      </c>
      <c r="H360" s="47">
        <v>1.23</v>
      </c>
      <c r="I360" s="23">
        <v>52</v>
      </c>
      <c r="J360" s="47">
        <f t="shared" si="45"/>
        <v>337.66399999999999</v>
      </c>
      <c r="K360" s="47">
        <f t="shared" si="41"/>
        <v>279.06115702479337</v>
      </c>
      <c r="L360" s="47">
        <v>75</v>
      </c>
      <c r="M360" s="47">
        <f t="shared" si="42"/>
        <v>50.231008264462808</v>
      </c>
      <c r="N360" s="61">
        <f t="shared" si="43"/>
        <v>0.23676742590111438</v>
      </c>
      <c r="O360" s="61">
        <f t="shared" si="44"/>
        <v>0.10089674940594855</v>
      </c>
      <c r="P360" s="67">
        <f t="shared" si="40"/>
        <v>42</v>
      </c>
      <c r="R360" s="25"/>
      <c r="S360" s="25"/>
    </row>
    <row r="361" spans="2:20" ht="14.45" customHeight="1" x14ac:dyDescent="0.25">
      <c r="B361" s="104"/>
      <c r="C361" s="28" t="s">
        <v>57</v>
      </c>
      <c r="D361">
        <v>3053220</v>
      </c>
      <c r="E361" s="47">
        <v>260</v>
      </c>
      <c r="F361" s="47">
        <v>39.35</v>
      </c>
      <c r="G361" s="47">
        <v>1.44</v>
      </c>
      <c r="H361" s="47">
        <v>1.23</v>
      </c>
      <c r="I361" s="23">
        <v>61</v>
      </c>
      <c r="J361" s="47">
        <f t="shared" si="45"/>
        <v>399.51199999999994</v>
      </c>
      <c r="K361" s="47">
        <f t="shared" si="41"/>
        <v>330.17520661157022</v>
      </c>
      <c r="L361" s="47">
        <v>86</v>
      </c>
      <c r="M361" s="47">
        <f t="shared" si="42"/>
        <v>59.431537190082636</v>
      </c>
      <c r="N361" s="61">
        <f t="shared" si="43"/>
        <v>0.23245899295433423</v>
      </c>
      <c r="O361" s="61">
        <f t="shared" si="44"/>
        <v>0.10204367995043408</v>
      </c>
      <c r="P361" s="67">
        <f t="shared" si="40"/>
        <v>50</v>
      </c>
      <c r="R361" s="25"/>
      <c r="S361" s="25"/>
    </row>
    <row r="362" spans="2:20" ht="14.45" customHeight="1" x14ac:dyDescent="0.25">
      <c r="B362" s="104"/>
      <c r="C362" s="28" t="s">
        <v>58</v>
      </c>
      <c r="D362">
        <v>3087090</v>
      </c>
      <c r="E362" s="47">
        <v>410</v>
      </c>
      <c r="F362" s="47">
        <v>43.6</v>
      </c>
      <c r="G362" s="47">
        <v>1.44</v>
      </c>
      <c r="H362" s="47">
        <v>1.23</v>
      </c>
      <c r="I362" s="23">
        <v>70</v>
      </c>
      <c r="J362" s="47">
        <f t="shared" si="45"/>
        <v>656.19200000000001</v>
      </c>
      <c r="K362" s="47">
        <f t="shared" si="41"/>
        <v>542.30743801652898</v>
      </c>
      <c r="L362" s="47">
        <v>87</v>
      </c>
      <c r="M362" s="47">
        <f t="shared" si="42"/>
        <v>97.615338842975206</v>
      </c>
      <c r="N362" s="61">
        <f t="shared" si="43"/>
        <v>0.19337463983757563</v>
      </c>
      <c r="O362" s="61">
        <f t="shared" si="44"/>
        <v>0.10009880992091538</v>
      </c>
      <c r="P362" s="67">
        <f t="shared" si="40"/>
        <v>48</v>
      </c>
      <c r="T362" s="24"/>
    </row>
    <row r="363" spans="2:20" ht="14.45" customHeight="1" x14ac:dyDescent="0.25">
      <c r="B363" s="104"/>
      <c r="C363" s="28" t="s">
        <v>59</v>
      </c>
      <c r="D363">
        <v>3098005</v>
      </c>
      <c r="E363" s="47">
        <v>900</v>
      </c>
      <c r="F363" s="47">
        <v>47.85</v>
      </c>
      <c r="G363" s="47">
        <v>1.44</v>
      </c>
      <c r="H363" s="47">
        <v>1.23</v>
      </c>
      <c r="I363" s="23">
        <v>94</v>
      </c>
      <c r="J363" s="47">
        <f t="shared" si="45"/>
        <v>1500.08</v>
      </c>
      <c r="K363" s="47">
        <f t="shared" si="41"/>
        <v>1239.7355371900826</v>
      </c>
      <c r="L363" s="47">
        <v>95</v>
      </c>
      <c r="M363" s="47">
        <f t="shared" si="42"/>
        <v>223.15239669421487</v>
      </c>
      <c r="N363" s="61">
        <f t="shared" si="43"/>
        <v>0.15852064667529384</v>
      </c>
      <c r="O363" s="61">
        <f t="shared" si="44"/>
        <v>0.11031813650520431</v>
      </c>
      <c r="P363" s="67">
        <f t="shared" si="40"/>
        <v>52</v>
      </c>
      <c r="T363" s="24"/>
    </row>
    <row r="364" spans="2:20" ht="14.45" customHeight="1" thickBot="1" x14ac:dyDescent="0.3">
      <c r="B364" s="104"/>
      <c r="C364" s="29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1"/>
      <c r="T364" s="24"/>
    </row>
    <row r="365" spans="2:20" ht="14.45" customHeight="1" x14ac:dyDescent="0.25">
      <c r="B365" s="104"/>
      <c r="P365" s="18"/>
      <c r="T365" s="24"/>
    </row>
    <row r="366" spans="2:20" ht="14.45" customHeight="1" x14ac:dyDescent="0.25">
      <c r="B366" s="104"/>
      <c r="C366" t="s">
        <v>103</v>
      </c>
      <c r="P366" s="18"/>
      <c r="T366" s="24"/>
    </row>
    <row r="367" spans="2:20" ht="14.45" customHeight="1" x14ac:dyDescent="0.25">
      <c r="B367" s="104"/>
      <c r="I367" t="s">
        <v>49</v>
      </c>
      <c r="P367" s="18"/>
      <c r="R367" s="25"/>
      <c r="S367" s="25"/>
    </row>
    <row r="368" spans="2:20" ht="14.45" customHeight="1" x14ac:dyDescent="0.25">
      <c r="B368" s="104"/>
      <c r="C368" t="s">
        <v>45</v>
      </c>
      <c r="D368" t="s">
        <v>33</v>
      </c>
      <c r="E368" t="s">
        <v>34</v>
      </c>
      <c r="F368" t="s">
        <v>35</v>
      </c>
      <c r="G368" t="s">
        <v>36</v>
      </c>
      <c r="H368" t="s">
        <v>37</v>
      </c>
      <c r="I368" t="s">
        <v>46</v>
      </c>
      <c r="J368" t="s">
        <v>39</v>
      </c>
      <c r="K368" t="s">
        <v>40</v>
      </c>
      <c r="L368" t="s">
        <v>41</v>
      </c>
      <c r="M368" t="s">
        <v>42</v>
      </c>
      <c r="N368" t="s">
        <v>43</v>
      </c>
      <c r="O368" t="s">
        <v>44</v>
      </c>
      <c r="P368" s="18" t="s">
        <v>100</v>
      </c>
      <c r="R368" s="25"/>
      <c r="S368" s="25"/>
    </row>
    <row r="369" spans="2:19" ht="14.45" customHeight="1" x14ac:dyDescent="0.25">
      <c r="B369" s="104"/>
      <c r="C369" t="s">
        <v>50</v>
      </c>
      <c r="D369">
        <v>332160</v>
      </c>
      <c r="E369">
        <v>16</v>
      </c>
      <c r="F369">
        <v>9.57</v>
      </c>
      <c r="G369">
        <v>1.42</v>
      </c>
      <c r="H369">
        <v>1.23</v>
      </c>
      <c r="I369">
        <v>0</v>
      </c>
      <c r="J369" s="23">
        <f>(E369*G369*H369)-I369</f>
        <v>27.945599999999999</v>
      </c>
      <c r="K369" s="23">
        <f>J369/1.21</f>
        <v>23.095537190082645</v>
      </c>
      <c r="L369">
        <v>15</v>
      </c>
      <c r="M369" s="23">
        <f>K369*0.18</f>
        <v>4.1571966942148757</v>
      </c>
      <c r="N369" s="61">
        <f>((K369+L369)-M369-E369)/(K369+L369)</f>
        <v>0.47087774104252905</v>
      </c>
      <c r="O369" s="61">
        <f>((K369+L369/1.21)-M369-E369-F369)/(K369+L369)</f>
        <v>0.15133097302128629</v>
      </c>
      <c r="P369" s="67">
        <f t="shared" ref="P369:P378" si="46">L369-L339</f>
        <v>10</v>
      </c>
      <c r="R369" s="25"/>
      <c r="S369" s="25"/>
    </row>
    <row r="370" spans="2:19" ht="14.45" customHeight="1" x14ac:dyDescent="0.25">
      <c r="B370" s="104"/>
      <c r="C370" t="s">
        <v>51</v>
      </c>
      <c r="D370">
        <v>311753</v>
      </c>
      <c r="E370">
        <v>41</v>
      </c>
      <c r="F370">
        <v>13.82</v>
      </c>
      <c r="G370">
        <v>1.42</v>
      </c>
      <c r="H370">
        <v>1.23</v>
      </c>
      <c r="I370">
        <v>11</v>
      </c>
      <c r="J370" s="23">
        <f>(E370*G370*H370)-I370</f>
        <v>60.610599999999991</v>
      </c>
      <c r="K370" s="23">
        <f t="shared" ref="K370:K378" si="47">J370/1.21</f>
        <v>50.091404958677678</v>
      </c>
      <c r="L370">
        <v>28</v>
      </c>
      <c r="M370" s="23">
        <f t="shared" ref="M370:M378" si="48">K370*0.18</f>
        <v>9.0164528925619809</v>
      </c>
      <c r="N370" s="61">
        <f t="shared" ref="N370:N378" si="49">((K370+L370)-M370-E370)/(K370+L370)</f>
        <v>0.35951398340152352</v>
      </c>
      <c r="O370" s="61">
        <f t="shared" ref="O370:O378" si="50">((K370+L370/1.21)-M370-E370-F370)/(K370+L370)</f>
        <v>0.12031347033461522</v>
      </c>
      <c r="P370" s="67">
        <f t="shared" si="46"/>
        <v>21</v>
      </c>
      <c r="R370" s="25"/>
      <c r="S370" s="25"/>
    </row>
    <row r="371" spans="2:19" ht="14.45" customHeight="1" x14ac:dyDescent="0.25">
      <c r="B371" s="104"/>
      <c r="C371" t="s">
        <v>52</v>
      </c>
      <c r="D371">
        <v>315500</v>
      </c>
      <c r="E371">
        <v>66</v>
      </c>
      <c r="F371">
        <v>18.079999999999998</v>
      </c>
      <c r="G371">
        <v>1.42</v>
      </c>
      <c r="H371">
        <v>1.23</v>
      </c>
      <c r="I371">
        <v>16</v>
      </c>
      <c r="J371" s="23">
        <f t="shared" ref="J371:J378" si="51">(E371*G371*H371)-I371</f>
        <v>99.275599999999997</v>
      </c>
      <c r="K371" s="23">
        <f t="shared" si="47"/>
        <v>82.045950413223139</v>
      </c>
      <c r="L371">
        <v>35</v>
      </c>
      <c r="M371" s="23">
        <f t="shared" si="48"/>
        <v>14.768271074380165</v>
      </c>
      <c r="N371" s="61">
        <f t="shared" si="49"/>
        <v>0.30994390844593067</v>
      </c>
      <c r="O371" s="61">
        <f t="shared" si="50"/>
        <v>0.10357726286773013</v>
      </c>
      <c r="P371" s="67">
        <f t="shared" si="46"/>
        <v>25</v>
      </c>
      <c r="R371" s="25"/>
      <c r="S371" s="25"/>
    </row>
    <row r="372" spans="2:19" ht="14.45" customHeight="1" x14ac:dyDescent="0.25">
      <c r="B372" s="104"/>
      <c r="C372" t="s">
        <v>53</v>
      </c>
      <c r="D372">
        <v>316653</v>
      </c>
      <c r="E372">
        <v>100</v>
      </c>
      <c r="F372">
        <v>22.33</v>
      </c>
      <c r="G372">
        <v>1.42</v>
      </c>
      <c r="H372">
        <v>1.23</v>
      </c>
      <c r="I372">
        <v>25</v>
      </c>
      <c r="J372" s="23">
        <f t="shared" si="51"/>
        <v>149.66</v>
      </c>
      <c r="K372" s="23">
        <f t="shared" si="47"/>
        <v>123.68595041322314</v>
      </c>
      <c r="L372">
        <v>46</v>
      </c>
      <c r="M372" s="23">
        <f t="shared" si="48"/>
        <v>22.263471074380163</v>
      </c>
      <c r="N372" s="61">
        <f t="shared" si="49"/>
        <v>0.27947204363919737</v>
      </c>
      <c r="O372" s="61">
        <f t="shared" si="50"/>
        <v>0.10082748879797393</v>
      </c>
      <c r="P372" s="67">
        <f t="shared" si="46"/>
        <v>30</v>
      </c>
      <c r="R372" s="25"/>
      <c r="S372" s="25"/>
    </row>
    <row r="373" spans="2:19" ht="14.45" customHeight="1" x14ac:dyDescent="0.25">
      <c r="B373" s="104"/>
      <c r="C373" t="s">
        <v>54</v>
      </c>
      <c r="D373">
        <v>810725</v>
      </c>
      <c r="E373">
        <v>140</v>
      </c>
      <c r="F373">
        <v>26.58</v>
      </c>
      <c r="G373">
        <v>1.42</v>
      </c>
      <c r="H373">
        <v>1.23</v>
      </c>
      <c r="I373">
        <v>32</v>
      </c>
      <c r="J373" s="23">
        <f t="shared" si="51"/>
        <v>212.52399999999997</v>
      </c>
      <c r="K373" s="23">
        <f t="shared" si="47"/>
        <v>175.63966942148758</v>
      </c>
      <c r="L373">
        <v>56</v>
      </c>
      <c r="M373" s="23">
        <f t="shared" si="48"/>
        <v>31.615140495867763</v>
      </c>
      <c r="N373" s="61">
        <f t="shared" si="49"/>
        <v>0.25912888356095953</v>
      </c>
      <c r="O373" s="61">
        <f t="shared" si="50"/>
        <v>0.10242425539809615</v>
      </c>
      <c r="P373" s="67">
        <f t="shared" si="46"/>
        <v>37</v>
      </c>
      <c r="R373" s="25"/>
      <c r="S373" s="25"/>
    </row>
    <row r="374" spans="2:19" ht="14.45" customHeight="1" x14ac:dyDescent="0.25">
      <c r="B374" s="104"/>
      <c r="C374" t="s">
        <v>55</v>
      </c>
      <c r="D374">
        <v>46726</v>
      </c>
      <c r="E374">
        <v>180</v>
      </c>
      <c r="F374">
        <v>30.84</v>
      </c>
      <c r="G374">
        <v>1.42</v>
      </c>
      <c r="H374">
        <v>1.23</v>
      </c>
      <c r="I374">
        <v>40</v>
      </c>
      <c r="J374" s="23">
        <f t="shared" si="51"/>
        <v>274.38799999999998</v>
      </c>
      <c r="K374" s="23">
        <f t="shared" si="47"/>
        <v>226.76694214876031</v>
      </c>
      <c r="L374">
        <v>68</v>
      </c>
      <c r="M374" s="23">
        <f t="shared" si="48"/>
        <v>40.818049586776851</v>
      </c>
      <c r="N374" s="61">
        <f t="shared" si="49"/>
        <v>0.25087240795361515</v>
      </c>
      <c r="O374" s="61">
        <f t="shared" si="50"/>
        <v>0.10621014500880369</v>
      </c>
      <c r="P374" s="67">
        <f t="shared" si="46"/>
        <v>44</v>
      </c>
      <c r="R374" s="25"/>
      <c r="S374" s="25"/>
    </row>
    <row r="375" spans="2:19" ht="14.45" customHeight="1" x14ac:dyDescent="0.25">
      <c r="B375" s="104"/>
      <c r="C375" t="s">
        <v>56</v>
      </c>
      <c r="D375">
        <v>3104987</v>
      </c>
      <c r="E375">
        <v>220</v>
      </c>
      <c r="F375">
        <v>35.090000000000003</v>
      </c>
      <c r="G375">
        <v>1.42</v>
      </c>
      <c r="H375">
        <v>1.23</v>
      </c>
      <c r="I375">
        <v>47</v>
      </c>
      <c r="J375" s="23">
        <f t="shared" si="51"/>
        <v>337.25199999999995</v>
      </c>
      <c r="K375" s="23">
        <f t="shared" si="47"/>
        <v>278.72066115702478</v>
      </c>
      <c r="L375">
        <v>77</v>
      </c>
      <c r="M375" s="23">
        <f t="shared" si="48"/>
        <v>50.169719008264458</v>
      </c>
      <c r="N375" s="61">
        <f t="shared" si="49"/>
        <v>0.24050034617189642</v>
      </c>
      <c r="O375" s="61">
        <f t="shared" si="50"/>
        <v>0.10428774551486676</v>
      </c>
      <c r="P375" s="67">
        <f t="shared" si="46"/>
        <v>49</v>
      </c>
      <c r="R375" s="25"/>
      <c r="S375" s="25"/>
    </row>
    <row r="376" spans="2:19" ht="14.45" customHeight="1" x14ac:dyDescent="0.25">
      <c r="B376" s="104"/>
      <c r="C376" t="s">
        <v>57</v>
      </c>
      <c r="D376">
        <v>314589</v>
      </c>
      <c r="E376">
        <v>260</v>
      </c>
      <c r="F376">
        <v>39.35</v>
      </c>
      <c r="G376">
        <v>1.42</v>
      </c>
      <c r="H376">
        <v>1.23</v>
      </c>
      <c r="I376">
        <v>55</v>
      </c>
      <c r="J376" s="23">
        <f t="shared" si="51"/>
        <v>399.11599999999999</v>
      </c>
      <c r="K376" s="23">
        <f t="shared" si="47"/>
        <v>329.8479338842975</v>
      </c>
      <c r="L376">
        <v>83</v>
      </c>
      <c r="M376" s="23">
        <f t="shared" si="48"/>
        <v>59.372628099173546</v>
      </c>
      <c r="N376" s="61">
        <f t="shared" si="49"/>
        <v>0.22641582556961723</v>
      </c>
      <c r="O376" s="61">
        <f t="shared" si="50"/>
        <v>9.6210599224095458E-2</v>
      </c>
      <c r="P376" s="67">
        <f t="shared" si="46"/>
        <v>52</v>
      </c>
      <c r="R376" s="25"/>
      <c r="S376" s="25"/>
    </row>
    <row r="377" spans="2:19" ht="14.45" customHeight="1" x14ac:dyDescent="0.25">
      <c r="B377" s="104"/>
      <c r="C377" t="s">
        <v>58</v>
      </c>
      <c r="D377">
        <v>3080729</v>
      </c>
      <c r="E377">
        <v>410</v>
      </c>
      <c r="F377">
        <v>43.6</v>
      </c>
      <c r="G377">
        <v>1.42</v>
      </c>
      <c r="H377">
        <v>1.23</v>
      </c>
      <c r="I377">
        <v>64</v>
      </c>
      <c r="J377" s="23">
        <f t="shared" si="51"/>
        <v>652.10599999999988</v>
      </c>
      <c r="K377" s="23">
        <f t="shared" si="47"/>
        <v>538.93057851239666</v>
      </c>
      <c r="L377">
        <v>85</v>
      </c>
      <c r="M377" s="23">
        <f t="shared" si="48"/>
        <v>97.007504132231389</v>
      </c>
      <c r="N377" s="61">
        <f t="shared" si="49"/>
        <v>0.18739757018952102</v>
      </c>
      <c r="O377" s="61">
        <f t="shared" si="50"/>
        <v>9.3874239028499631E-2</v>
      </c>
      <c r="P377" s="67">
        <f t="shared" si="46"/>
        <v>52</v>
      </c>
    </row>
    <row r="378" spans="2:19" ht="14.45" customHeight="1" thickBot="1" x14ac:dyDescent="0.3">
      <c r="B378" s="105"/>
      <c r="C378" s="30" t="s">
        <v>59</v>
      </c>
      <c r="D378" s="30">
        <v>3070755</v>
      </c>
      <c r="E378" s="30">
        <v>900</v>
      </c>
      <c r="F378" s="30">
        <v>47.85</v>
      </c>
      <c r="G378" s="30">
        <v>1.42</v>
      </c>
      <c r="H378" s="30">
        <v>1.23</v>
      </c>
      <c r="I378" s="30">
        <v>85</v>
      </c>
      <c r="J378" s="64">
        <f t="shared" si="51"/>
        <v>1486.94</v>
      </c>
      <c r="K378" s="64">
        <f t="shared" si="47"/>
        <v>1228.8760330578514</v>
      </c>
      <c r="L378" s="30">
        <v>87</v>
      </c>
      <c r="M378" s="64">
        <f t="shared" si="48"/>
        <v>221.19768595041324</v>
      </c>
      <c r="N378" s="65">
        <f t="shared" si="49"/>
        <v>0.14794581116812491</v>
      </c>
      <c r="O378" s="65">
        <f t="shared" si="50"/>
        <v>0.10010758631085102</v>
      </c>
      <c r="P378" s="68">
        <f t="shared" si="46"/>
        <v>49</v>
      </c>
    </row>
    <row r="380" spans="2:19" ht="14.45" customHeight="1" thickBot="1" x14ac:dyDescent="0.3"/>
    <row r="381" spans="2:19" ht="18.75" x14ac:dyDescent="0.3">
      <c r="B381" s="137" t="s">
        <v>108</v>
      </c>
      <c r="C381" s="106" t="s">
        <v>16</v>
      </c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9"/>
    </row>
    <row r="382" spans="2:19" ht="14.45" customHeight="1" x14ac:dyDescent="0.25">
      <c r="B382" s="138"/>
      <c r="C382" s="1" t="s">
        <v>1</v>
      </c>
      <c r="D382" s="32" t="s">
        <v>2</v>
      </c>
      <c r="E382" s="2" t="s">
        <v>3</v>
      </c>
      <c r="F382" s="2" t="s">
        <v>4</v>
      </c>
      <c r="G382" s="2" t="s">
        <v>5</v>
      </c>
      <c r="H382" s="2" t="s">
        <v>6</v>
      </c>
      <c r="I382" s="2" t="s">
        <v>7</v>
      </c>
      <c r="J382" s="2" t="s">
        <v>8</v>
      </c>
      <c r="K382" s="2" t="s">
        <v>9</v>
      </c>
      <c r="L382" s="2" t="s">
        <v>10</v>
      </c>
      <c r="M382" s="2" t="s">
        <v>11</v>
      </c>
      <c r="N382" s="2" t="s">
        <v>12</v>
      </c>
      <c r="O382" s="2" t="s">
        <v>13</v>
      </c>
      <c r="P382" s="2" t="s">
        <v>14</v>
      </c>
      <c r="Q382" s="3" t="s">
        <v>15</v>
      </c>
    </row>
    <row r="383" spans="2:19" ht="14.45" customHeight="1" x14ac:dyDescent="0.25">
      <c r="B383" s="138"/>
      <c r="C383" s="34">
        <v>80</v>
      </c>
      <c r="D383" s="32">
        <v>55</v>
      </c>
      <c r="E383" s="2">
        <v>1.27</v>
      </c>
      <c r="F383" s="2">
        <v>0.22</v>
      </c>
      <c r="G383" s="2">
        <v>1.23</v>
      </c>
      <c r="H383" s="2">
        <v>30</v>
      </c>
      <c r="I383" s="2">
        <v>1</v>
      </c>
      <c r="J383" s="2">
        <v>0</v>
      </c>
      <c r="K383" s="6">
        <v>0.18</v>
      </c>
      <c r="L383" s="20">
        <v>8</v>
      </c>
      <c r="M383" s="7">
        <f>(C383+H383)*E383*F383*G383*I383+J383+L383</f>
        <v>45.802819999999997</v>
      </c>
      <c r="N383" s="8">
        <f>((M383/1.21)-L383)*0.18</f>
        <v>5.3736426446280987</v>
      </c>
      <c r="O383" s="9">
        <v>0</v>
      </c>
      <c r="P383" s="8">
        <f>(1-O383)*C383*F383+(D383*F383)+N383</f>
        <v>35.073642644628102</v>
      </c>
      <c r="Q383" s="36">
        <f>(M383/1.21-P383)/(M383/1.21)</f>
        <v>7.343898039465678E-2</v>
      </c>
    </row>
    <row r="384" spans="2:19" ht="14.45" customHeight="1" x14ac:dyDescent="0.25">
      <c r="B384" s="138"/>
      <c r="C384" s="34">
        <v>200</v>
      </c>
      <c r="D384" s="32">
        <v>55</v>
      </c>
      <c r="E384" s="2">
        <v>1.27</v>
      </c>
      <c r="F384" s="2">
        <v>0.22</v>
      </c>
      <c r="G384" s="2">
        <v>1.23</v>
      </c>
      <c r="H384" s="2">
        <v>30</v>
      </c>
      <c r="I384" s="2">
        <v>1</v>
      </c>
      <c r="J384" s="2">
        <v>0</v>
      </c>
      <c r="K384" s="6">
        <v>0.18</v>
      </c>
      <c r="L384" s="20">
        <v>15</v>
      </c>
      <c r="M384" s="7">
        <f>(C384+H384)*E384*F384*G384*I384+J384+L384</f>
        <v>94.042259999999999</v>
      </c>
      <c r="N384" s="8">
        <f>((M384/1.21)-L384)*0.18</f>
        <v>11.289757685950413</v>
      </c>
      <c r="O384" s="9">
        <v>0</v>
      </c>
      <c r="P384" s="8">
        <f>(1-O384)*C384*F384+(D384*F384)+N384</f>
        <v>67.389757685950414</v>
      </c>
      <c r="Q384" s="36">
        <f>(M384/1.21-P384)/(M384/1.21)</f>
        <v>0.13292591224413361</v>
      </c>
    </row>
    <row r="385" spans="2:17" ht="14.45" customHeight="1" x14ac:dyDescent="0.25">
      <c r="B385" s="138"/>
      <c r="C385" s="34">
        <v>350</v>
      </c>
      <c r="D385" s="32">
        <v>55</v>
      </c>
      <c r="E385" s="2">
        <v>1.23</v>
      </c>
      <c r="F385" s="2">
        <v>0.22</v>
      </c>
      <c r="G385" s="2">
        <v>1.23</v>
      </c>
      <c r="H385" s="2">
        <v>30</v>
      </c>
      <c r="I385" s="2">
        <v>1</v>
      </c>
      <c r="J385" s="2">
        <v>0</v>
      </c>
      <c r="K385" s="6">
        <v>0.18</v>
      </c>
      <c r="L385" s="20">
        <v>19</v>
      </c>
      <c r="M385" s="7">
        <f>(C385+H385)*E385*F385*G385*I385+J385+L385</f>
        <v>145.47843999999998</v>
      </c>
      <c r="N385" s="8">
        <f>((M385/1.21)-L385)*0.18</f>
        <v>18.221420826446277</v>
      </c>
      <c r="O385" s="9">
        <v>0</v>
      </c>
      <c r="P385" s="8">
        <f>(1-O385)*C385*F385+(D385*F385)+N385</f>
        <v>107.32142082644627</v>
      </c>
      <c r="Q385" s="36">
        <f>(M385/1.21-P385)/(M385/1.21)</f>
        <v>0.10736656785706525</v>
      </c>
    </row>
    <row r="386" spans="2:17" ht="14.45" customHeight="1" x14ac:dyDescent="0.25">
      <c r="B386" s="138"/>
      <c r="C386" s="34">
        <v>600</v>
      </c>
      <c r="D386" s="32">
        <v>55</v>
      </c>
      <c r="E386" s="2">
        <v>1.22</v>
      </c>
      <c r="F386" s="2">
        <v>0.22</v>
      </c>
      <c r="G386" s="2">
        <v>1.23</v>
      </c>
      <c r="H386" s="2">
        <v>30</v>
      </c>
      <c r="I386" s="2">
        <v>1</v>
      </c>
      <c r="J386" s="2">
        <v>0</v>
      </c>
      <c r="K386" s="6">
        <v>0.18</v>
      </c>
      <c r="L386" s="20">
        <v>23</v>
      </c>
      <c r="M386" s="7">
        <f>(C386+H386)*E386*F386*G386*I386+J386+L386</f>
        <v>230.98316000000003</v>
      </c>
      <c r="N386" s="8">
        <f>((M386/1.21)-L386)*0.18</f>
        <v>30.221131239669429</v>
      </c>
      <c r="O386" s="9">
        <v>0</v>
      </c>
      <c r="P386" s="8">
        <f>(1-O386)*C386*F386+(D386*F386)+N386</f>
        <v>174.32113123966943</v>
      </c>
      <c r="Q386" s="36">
        <f>(M386/1.21-P386)/(M386/1.21)</f>
        <v>8.6822741536655909E-2</v>
      </c>
    </row>
    <row r="387" spans="2:17" ht="14.45" customHeight="1" x14ac:dyDescent="0.25">
      <c r="B387" s="138"/>
      <c r="C387" s="34">
        <v>800</v>
      </c>
      <c r="D387" s="32">
        <v>55</v>
      </c>
      <c r="E387" s="2">
        <v>1.21</v>
      </c>
      <c r="F387" s="2">
        <v>0.22</v>
      </c>
      <c r="G387" s="2">
        <v>1.23</v>
      </c>
      <c r="H387" s="2">
        <v>30</v>
      </c>
      <c r="I387" s="2">
        <v>1</v>
      </c>
      <c r="J387" s="2">
        <v>0</v>
      </c>
      <c r="K387" s="6">
        <v>0.18</v>
      </c>
      <c r="L387" s="20">
        <v>30</v>
      </c>
      <c r="M387" s="7">
        <f>(C387+H387)*E387*F387*G387*I387+J387+L387</f>
        <v>301.76357999999999</v>
      </c>
      <c r="N387" s="8">
        <f>((M387/1.21)-L387)*0.18</f>
        <v>39.49044991735537</v>
      </c>
      <c r="O387" s="9">
        <v>0</v>
      </c>
      <c r="P387" s="8">
        <f>(1-O387)*C387*F387+(D387*F387)+N387</f>
        <v>227.59044991735536</v>
      </c>
      <c r="Q387" s="36">
        <f>(M387/1.21-P387)/(M387/1.21)</f>
        <v>8.7416564981102118E-2</v>
      </c>
    </row>
    <row r="388" spans="2:17" ht="14.45" customHeight="1" x14ac:dyDescent="0.25">
      <c r="B388" s="138"/>
      <c r="D388" s="33"/>
      <c r="Q388" s="18"/>
    </row>
    <row r="389" spans="2:17" ht="14.45" customHeight="1" x14ac:dyDescent="0.3">
      <c r="B389" s="138"/>
      <c r="C389" s="107" t="s">
        <v>17</v>
      </c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9"/>
    </row>
    <row r="390" spans="2:17" ht="14.45" customHeight="1" x14ac:dyDescent="0.25">
      <c r="B390" s="138"/>
      <c r="C390" s="1" t="s">
        <v>1</v>
      </c>
      <c r="D390" s="32" t="s">
        <v>2</v>
      </c>
      <c r="E390" s="2" t="s">
        <v>3</v>
      </c>
      <c r="F390" s="2" t="s">
        <v>4</v>
      </c>
      <c r="G390" s="2" t="s">
        <v>5</v>
      </c>
      <c r="H390" s="2" t="s">
        <v>6</v>
      </c>
      <c r="I390" s="2" t="s">
        <v>7</v>
      </c>
      <c r="J390" s="2" t="s">
        <v>8</v>
      </c>
      <c r="K390" s="2" t="s">
        <v>9</v>
      </c>
      <c r="L390" s="2" t="s">
        <v>10</v>
      </c>
      <c r="M390" s="2" t="s">
        <v>11</v>
      </c>
      <c r="N390" s="2" t="s">
        <v>12</v>
      </c>
      <c r="O390" s="2" t="s">
        <v>13</v>
      </c>
      <c r="P390" s="2" t="s">
        <v>14</v>
      </c>
      <c r="Q390" s="3" t="s">
        <v>15</v>
      </c>
    </row>
    <row r="391" spans="2:17" ht="14.45" customHeight="1" x14ac:dyDescent="0.25">
      <c r="B391" s="138"/>
      <c r="C391" s="34">
        <v>80</v>
      </c>
      <c r="D391" s="32">
        <v>55</v>
      </c>
      <c r="E391" s="2">
        <v>1.4</v>
      </c>
      <c r="F391" s="2">
        <v>0.22</v>
      </c>
      <c r="G391" s="2">
        <v>1.23</v>
      </c>
      <c r="H391" s="2">
        <v>30</v>
      </c>
      <c r="I391" s="2">
        <v>1</v>
      </c>
      <c r="J391" s="2">
        <v>0</v>
      </c>
      <c r="K391" s="6">
        <v>0.18</v>
      </c>
      <c r="L391" s="2">
        <v>5</v>
      </c>
      <c r="M391" s="7">
        <f>(C391+H391)*E391*F391*G391*I391+J391+L391</f>
        <v>46.672400000000003</v>
      </c>
      <c r="N391" s="8">
        <f>((M391/1.21)-L391)*0.18</f>
        <v>6.0430016528925616</v>
      </c>
      <c r="O391" s="9">
        <v>0</v>
      </c>
      <c r="P391" s="8">
        <f>(1-O391)*C391*F391+(D391*F391)+N391</f>
        <v>35.743001652892566</v>
      </c>
      <c r="Q391" s="36">
        <f>(M391/1.21-P391)/(M391/1.21)</f>
        <v>7.3348874281159659E-2</v>
      </c>
    </row>
    <row r="392" spans="2:17" ht="14.45" customHeight="1" x14ac:dyDescent="0.25">
      <c r="B392" s="138"/>
      <c r="C392" s="34">
        <v>200</v>
      </c>
      <c r="D392" s="32">
        <v>55</v>
      </c>
      <c r="E392" s="2">
        <v>1.4</v>
      </c>
      <c r="F392" s="2">
        <v>0.22</v>
      </c>
      <c r="G392" s="2">
        <v>1.23</v>
      </c>
      <c r="H392" s="2">
        <v>20</v>
      </c>
      <c r="I392" s="2">
        <v>1</v>
      </c>
      <c r="J392" s="2">
        <v>0</v>
      </c>
      <c r="K392" s="6">
        <v>0.18</v>
      </c>
      <c r="L392" s="2">
        <v>7</v>
      </c>
      <c r="M392" s="7">
        <f>(C392+H392)*E392*F392*G392*I392+J392+L392</f>
        <v>90.344800000000006</v>
      </c>
      <c r="N392" s="8">
        <f>((M392/1.21)-L392)*0.18</f>
        <v>12.179722314049588</v>
      </c>
      <c r="O392" s="9">
        <v>0</v>
      </c>
      <c r="P392" s="8">
        <f t="shared" ref="P392:P395" si="52">(1-O392)*C392*F392+(D392*F392)+N392</f>
        <v>68.279722314049593</v>
      </c>
      <c r="Q392" s="36">
        <f>(M392/1.21-P392)/(M392/1.21)</f>
        <v>8.5520539090241016E-2</v>
      </c>
    </row>
    <row r="393" spans="2:17" ht="14.45" customHeight="1" x14ac:dyDescent="0.25">
      <c r="B393" s="138"/>
      <c r="C393" s="34">
        <v>350</v>
      </c>
      <c r="D393" s="32">
        <v>55</v>
      </c>
      <c r="E393" s="2">
        <v>1.3</v>
      </c>
      <c r="F393" s="2">
        <v>0.22</v>
      </c>
      <c r="G393" s="2">
        <v>1.23</v>
      </c>
      <c r="H393" s="2">
        <v>20</v>
      </c>
      <c r="I393" s="2">
        <v>1</v>
      </c>
      <c r="J393" s="2">
        <v>0</v>
      </c>
      <c r="K393" s="6">
        <v>0.18</v>
      </c>
      <c r="L393" s="2">
        <v>10</v>
      </c>
      <c r="M393" s="7">
        <f>(C393+H393)*E393*F393*G393*I393+J393+L393</f>
        <v>140.15860000000001</v>
      </c>
      <c r="N393" s="8">
        <f>((M393/1.21)-L393)*0.18</f>
        <v>19.050039669421491</v>
      </c>
      <c r="O393" s="9">
        <v>0</v>
      </c>
      <c r="P393" s="8">
        <f t="shared" si="52"/>
        <v>108.15003966942149</v>
      </c>
      <c r="Q393" s="36">
        <f>(M393/1.21-P393)/(M393/1.21)</f>
        <v>6.633236918747773E-2</v>
      </c>
    </row>
    <row r="394" spans="2:17" ht="14.45" customHeight="1" x14ac:dyDescent="0.25">
      <c r="B394" s="138"/>
      <c r="C394" s="34">
        <v>600</v>
      </c>
      <c r="D394" s="32">
        <v>55</v>
      </c>
      <c r="E394" s="2">
        <v>1.26</v>
      </c>
      <c r="F394" s="2">
        <v>0.22</v>
      </c>
      <c r="G394" s="2">
        <v>1.23</v>
      </c>
      <c r="H394" s="2">
        <v>20</v>
      </c>
      <c r="I394" s="2">
        <v>1</v>
      </c>
      <c r="J394" s="2">
        <v>0</v>
      </c>
      <c r="K394" s="6">
        <v>0.18</v>
      </c>
      <c r="L394" s="2">
        <v>16</v>
      </c>
      <c r="M394" s="7">
        <f>(C394+H394)*E394*F394*G394*I394+J394+L394</f>
        <v>227.39272</v>
      </c>
      <c r="N394" s="8">
        <f>((M394/1.21)-L394)*0.18</f>
        <v>30.947016198347104</v>
      </c>
      <c r="O394" s="9">
        <v>0</v>
      </c>
      <c r="P394" s="8">
        <f t="shared" si="52"/>
        <v>175.04701619834711</v>
      </c>
      <c r="Q394" s="36">
        <f>(M394/1.21-P394)/(M394/1.21)</f>
        <v>6.8541466059247602E-2</v>
      </c>
    </row>
    <row r="395" spans="2:17" ht="14.45" customHeight="1" thickBot="1" x14ac:dyDescent="0.3">
      <c r="B395" s="139"/>
      <c r="C395" s="34">
        <v>800</v>
      </c>
      <c r="D395" s="32">
        <v>55</v>
      </c>
      <c r="E395" s="2">
        <v>1.24</v>
      </c>
      <c r="F395" s="2">
        <v>0.22</v>
      </c>
      <c r="G395" s="2">
        <v>1.23</v>
      </c>
      <c r="H395" s="2">
        <v>18</v>
      </c>
      <c r="I395" s="2">
        <v>1</v>
      </c>
      <c r="J395" s="2">
        <v>0</v>
      </c>
      <c r="K395" s="6">
        <v>0.18</v>
      </c>
      <c r="L395" s="2">
        <v>22</v>
      </c>
      <c r="M395" s="7">
        <f>(C395+H395)*E395*F395*G395*I395+J395+L395</f>
        <v>296.47499199999999</v>
      </c>
      <c r="N395" s="8">
        <f>((M395/1.21)-L395)*0.18</f>
        <v>40.143717818181813</v>
      </c>
      <c r="O395" s="9">
        <v>0</v>
      </c>
      <c r="P395" s="8">
        <f t="shared" si="52"/>
        <v>228.24371781818181</v>
      </c>
      <c r="Q395" s="36">
        <f>(M395/1.21-P395)/(M395/1.21)</f>
        <v>6.8471520323036217E-2</v>
      </c>
    </row>
    <row r="397" spans="2:17" ht="14.45" customHeight="1" thickBot="1" x14ac:dyDescent="0.3"/>
    <row r="398" spans="2:17" ht="14.45" customHeight="1" x14ac:dyDescent="0.3">
      <c r="B398" s="115" t="s">
        <v>107</v>
      </c>
      <c r="C398" s="106" t="s">
        <v>16</v>
      </c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9"/>
    </row>
    <row r="399" spans="2:17" ht="14.45" customHeight="1" x14ac:dyDescent="0.25">
      <c r="B399" s="116"/>
      <c r="C399" s="1" t="s">
        <v>19</v>
      </c>
      <c r="D399" s="32" t="s">
        <v>2</v>
      </c>
      <c r="E399" s="2" t="s">
        <v>3</v>
      </c>
      <c r="F399" s="2" t="s">
        <v>4</v>
      </c>
      <c r="G399" s="2" t="s">
        <v>5</v>
      </c>
      <c r="H399" s="2" t="s">
        <v>6</v>
      </c>
      <c r="I399" s="2" t="s">
        <v>7</v>
      </c>
      <c r="J399" s="2" t="s">
        <v>8</v>
      </c>
      <c r="K399" s="2" t="s">
        <v>9</v>
      </c>
      <c r="L399" s="2" t="s">
        <v>10</v>
      </c>
      <c r="M399" s="2" t="s">
        <v>11</v>
      </c>
      <c r="N399" s="2" t="s">
        <v>12</v>
      </c>
      <c r="O399" s="2" t="s">
        <v>13</v>
      </c>
      <c r="P399" s="2" t="s">
        <v>14</v>
      </c>
      <c r="Q399" s="3" t="s">
        <v>15</v>
      </c>
    </row>
    <row r="400" spans="2:17" ht="14.45" customHeight="1" x14ac:dyDescent="0.25">
      <c r="B400" s="116"/>
      <c r="C400" s="34">
        <v>300</v>
      </c>
      <c r="D400" s="32">
        <v>15</v>
      </c>
      <c r="E400" s="2">
        <v>1.47</v>
      </c>
      <c r="F400" s="2">
        <v>0.22</v>
      </c>
      <c r="G400" s="2">
        <v>1</v>
      </c>
      <c r="H400" s="2">
        <v>-10</v>
      </c>
      <c r="I400" s="2">
        <v>1</v>
      </c>
      <c r="J400" s="2">
        <v>0</v>
      </c>
      <c r="K400" s="6">
        <v>0.18</v>
      </c>
      <c r="L400" s="2">
        <v>8</v>
      </c>
      <c r="M400" s="7">
        <f>(C400+H400)*E400*F400*G400*I400+J400+L400</f>
        <v>101.786</v>
      </c>
      <c r="N400" s="8">
        <f>((M400-L400)/1.21)*0.18</f>
        <v>13.951636363636364</v>
      </c>
      <c r="O400" s="9">
        <v>0</v>
      </c>
      <c r="P400" s="8">
        <f>(((1-O400)*C400)/1.23)*F400+(D400*F400)+N400</f>
        <v>70.910172949002217</v>
      </c>
      <c r="Q400" s="36">
        <f>(M400/1.21-P400)/(M400/1.21)</f>
        <v>0.15704213478972867</v>
      </c>
    </row>
    <row r="401" spans="2:17" ht="14.45" customHeight="1" x14ac:dyDescent="0.25">
      <c r="B401" s="116"/>
      <c r="C401" s="34">
        <v>400</v>
      </c>
      <c r="D401" s="32">
        <v>15</v>
      </c>
      <c r="E401" s="2">
        <v>1.35</v>
      </c>
      <c r="F401" s="2">
        <v>0.22</v>
      </c>
      <c r="G401" s="2">
        <v>1</v>
      </c>
      <c r="H401" s="2">
        <v>-40</v>
      </c>
      <c r="I401" s="2">
        <v>1</v>
      </c>
      <c r="J401" s="2">
        <v>0</v>
      </c>
      <c r="K401" s="6">
        <v>0.18</v>
      </c>
      <c r="L401" s="2">
        <v>15</v>
      </c>
      <c r="M401" s="7">
        <f t="shared" ref="M401:M404" si="53">(C401+H401)*E401*F401*G401*I401+J401+L401</f>
        <v>121.92000000000002</v>
      </c>
      <c r="N401" s="8">
        <f t="shared" ref="N401:N404" si="54">((M401-L401)/1.21)*0.18</f>
        <v>15.905454545454546</v>
      </c>
      <c r="O401" s="9">
        <v>0</v>
      </c>
      <c r="P401" s="8">
        <f>(((1-O401)*C401)/1.23)*F401+(D401*F401)+N401</f>
        <v>90.750169992609017</v>
      </c>
      <c r="Q401" s="36">
        <f>(M401/1.21-P401)/(M401/1.21)</f>
        <v>9.9346245972302363E-2</v>
      </c>
    </row>
    <row r="402" spans="2:17" ht="14.45" customHeight="1" x14ac:dyDescent="0.25">
      <c r="B402" s="116"/>
      <c r="C402" s="34">
        <v>600</v>
      </c>
      <c r="D402" s="32">
        <v>15</v>
      </c>
      <c r="E402" s="2">
        <v>1.31</v>
      </c>
      <c r="F402" s="2">
        <v>0.22</v>
      </c>
      <c r="G402" s="2">
        <v>1</v>
      </c>
      <c r="H402" s="2">
        <v>-40</v>
      </c>
      <c r="I402" s="2">
        <v>1</v>
      </c>
      <c r="J402" s="2">
        <v>0</v>
      </c>
      <c r="K402" s="6">
        <v>0.18</v>
      </c>
      <c r="L402" s="2">
        <v>19</v>
      </c>
      <c r="M402" s="7">
        <f t="shared" si="53"/>
        <v>180.392</v>
      </c>
      <c r="N402" s="8">
        <f t="shared" si="54"/>
        <v>24.00872727272727</v>
      </c>
      <c r="O402" s="9">
        <v>0</v>
      </c>
      <c r="P402" s="8">
        <f t="shared" ref="P402:P404" si="55">(((1-O402)*C402)/1.23)*F402+(D402*F402)+N402</f>
        <v>134.62580044345896</v>
      </c>
      <c r="Q402" s="36">
        <f>(M402/1.21-P402)/(M402/1.21)</f>
        <v>9.6982025053298698E-2</v>
      </c>
    </row>
    <row r="403" spans="2:17" ht="14.45" customHeight="1" x14ac:dyDescent="0.25">
      <c r="B403" s="116"/>
      <c r="C403" s="34">
        <v>900</v>
      </c>
      <c r="D403" s="32">
        <v>15</v>
      </c>
      <c r="E403" s="2">
        <v>1.29</v>
      </c>
      <c r="F403" s="2">
        <v>0.22</v>
      </c>
      <c r="G403" s="2">
        <v>1</v>
      </c>
      <c r="H403" s="2">
        <v>-40</v>
      </c>
      <c r="I403" s="2">
        <v>1</v>
      </c>
      <c r="J403" s="2">
        <v>0</v>
      </c>
      <c r="K403" s="6">
        <v>0.18</v>
      </c>
      <c r="L403" s="2">
        <v>23</v>
      </c>
      <c r="M403" s="7">
        <f t="shared" si="53"/>
        <v>267.06799999999998</v>
      </c>
      <c r="N403" s="8">
        <f t="shared" si="54"/>
        <v>36.307636363636355</v>
      </c>
      <c r="O403" s="9">
        <v>0</v>
      </c>
      <c r="P403" s="8">
        <f t="shared" si="55"/>
        <v>200.58324611973396</v>
      </c>
      <c r="Q403" s="36">
        <f>(M403/1.21-P403)/(M403/1.21)</f>
        <v>9.1221232776378711E-2</v>
      </c>
    </row>
    <row r="404" spans="2:17" ht="14.45" customHeight="1" x14ac:dyDescent="0.25">
      <c r="B404" s="116"/>
      <c r="C404" s="34">
        <v>1500</v>
      </c>
      <c r="D404" s="32">
        <v>15</v>
      </c>
      <c r="E404" s="2">
        <v>1.27</v>
      </c>
      <c r="F404" s="2">
        <v>0.22</v>
      </c>
      <c r="G404" s="2">
        <v>1</v>
      </c>
      <c r="H404" s="2">
        <v>-50</v>
      </c>
      <c r="I404" s="2">
        <v>1</v>
      </c>
      <c r="J404" s="2">
        <v>0</v>
      </c>
      <c r="K404" s="6">
        <v>0.18</v>
      </c>
      <c r="L404" s="2">
        <v>30</v>
      </c>
      <c r="M404" s="7">
        <f t="shared" si="53"/>
        <v>435.13</v>
      </c>
      <c r="N404" s="8">
        <f t="shared" si="54"/>
        <v>60.267272727272726</v>
      </c>
      <c r="O404" s="9">
        <v>0</v>
      </c>
      <c r="P404" s="8">
        <f t="shared" si="55"/>
        <v>331.85995565410201</v>
      </c>
      <c r="Q404" s="36">
        <f>(M404/1.21-P404)/(M404/1.21)</f>
        <v>7.71710837187429E-2</v>
      </c>
    </row>
    <row r="405" spans="2:17" ht="14.45" customHeight="1" x14ac:dyDescent="0.25">
      <c r="B405" s="116"/>
      <c r="D405" s="33"/>
      <c r="Q405" s="18"/>
    </row>
    <row r="406" spans="2:17" ht="14.45" customHeight="1" x14ac:dyDescent="0.3">
      <c r="B406" s="116"/>
      <c r="C406" s="107" t="s">
        <v>17</v>
      </c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9"/>
    </row>
    <row r="407" spans="2:17" ht="14.45" customHeight="1" x14ac:dyDescent="0.25">
      <c r="B407" s="116"/>
      <c r="C407" s="1" t="s">
        <v>19</v>
      </c>
      <c r="D407" s="32" t="s">
        <v>2</v>
      </c>
      <c r="E407" s="2" t="s">
        <v>3</v>
      </c>
      <c r="F407" s="2" t="s">
        <v>4</v>
      </c>
      <c r="G407" s="2" t="s">
        <v>5</v>
      </c>
      <c r="H407" s="2" t="s">
        <v>6</v>
      </c>
      <c r="I407" s="2" t="s">
        <v>7</v>
      </c>
      <c r="J407" s="2" t="s">
        <v>8</v>
      </c>
      <c r="K407" s="2" t="s">
        <v>9</v>
      </c>
      <c r="L407" s="2" t="s">
        <v>10</v>
      </c>
      <c r="M407" s="2" t="s">
        <v>11</v>
      </c>
      <c r="N407" s="2" t="s">
        <v>12</v>
      </c>
      <c r="O407" s="2" t="s">
        <v>13</v>
      </c>
      <c r="P407" s="2" t="s">
        <v>14</v>
      </c>
      <c r="Q407" s="3" t="s">
        <v>15</v>
      </c>
    </row>
    <row r="408" spans="2:17" ht="14.45" customHeight="1" x14ac:dyDescent="0.25">
      <c r="B408" s="116"/>
      <c r="C408" s="34">
        <v>300</v>
      </c>
      <c r="D408" s="32">
        <v>15</v>
      </c>
      <c r="E408" s="2">
        <v>1.25</v>
      </c>
      <c r="F408" s="2">
        <v>0.22</v>
      </c>
      <c r="G408" s="2">
        <v>1</v>
      </c>
      <c r="H408" s="2">
        <v>0</v>
      </c>
      <c r="I408" s="2">
        <v>1</v>
      </c>
      <c r="J408" s="2">
        <v>0</v>
      </c>
      <c r="K408" s="6">
        <v>0.18</v>
      </c>
      <c r="L408" s="2">
        <v>10</v>
      </c>
      <c r="M408" s="7">
        <f>(C408+H408)*E408*F408*G408*I408+J408+L408</f>
        <v>92.5</v>
      </c>
      <c r="N408" s="8">
        <f>((M408-L408)/1.21)*0.18</f>
        <v>12.272727272727273</v>
      </c>
      <c r="O408" s="9">
        <v>0</v>
      </c>
      <c r="P408" s="8">
        <f>(((1-O408)*C408)/1.23)*F408+(D408*F408)+N408</f>
        <v>69.231263858093115</v>
      </c>
      <c r="Q408" s="36">
        <f>(M408/1.21-P408)/(M408/1.21)</f>
        <v>9.4380224126565701E-2</v>
      </c>
    </row>
    <row r="409" spans="2:17" ht="14.45" customHeight="1" x14ac:dyDescent="0.25">
      <c r="B409" s="116"/>
      <c r="C409" s="34">
        <v>400</v>
      </c>
      <c r="D409" s="32">
        <v>15</v>
      </c>
      <c r="E409" s="2">
        <v>1.35</v>
      </c>
      <c r="F409" s="2">
        <v>0.22</v>
      </c>
      <c r="G409" s="2">
        <v>1</v>
      </c>
      <c r="H409" s="2">
        <v>-40</v>
      </c>
      <c r="I409" s="2">
        <v>1</v>
      </c>
      <c r="J409" s="2">
        <v>0</v>
      </c>
      <c r="K409" s="6">
        <v>0.18</v>
      </c>
      <c r="L409" s="2">
        <v>16</v>
      </c>
      <c r="M409" s="7">
        <f t="shared" ref="M409:M412" si="56">(C409+H409)*E409*F409*G409*I409+J409+L409</f>
        <v>122.92000000000002</v>
      </c>
      <c r="N409" s="8">
        <f t="shared" ref="N409:N412" si="57">(M409/1.21)*0.18</f>
        <v>18.285619834710747</v>
      </c>
      <c r="O409" s="9">
        <v>0</v>
      </c>
      <c r="P409" s="8">
        <f t="shared" ref="P409:P412" si="58">(((1-O409)*C409)/1.23)*F409+(D409*F409)+N409</f>
        <v>93.130335281865214</v>
      </c>
      <c r="Q409" s="36">
        <f>(M409/1.21-P409)/(M409/1.21)</f>
        <v>8.3243526756777708E-2</v>
      </c>
    </row>
    <row r="410" spans="2:17" ht="14.45" customHeight="1" x14ac:dyDescent="0.25">
      <c r="B410" s="116"/>
      <c r="C410" s="34">
        <v>600</v>
      </c>
      <c r="D410" s="32">
        <v>15</v>
      </c>
      <c r="E410" s="2">
        <v>1.39</v>
      </c>
      <c r="F410" s="2">
        <v>0.22</v>
      </c>
      <c r="G410" s="2">
        <v>1</v>
      </c>
      <c r="H410" s="2">
        <v>-70</v>
      </c>
      <c r="I410" s="2">
        <v>1</v>
      </c>
      <c r="J410" s="2">
        <v>0</v>
      </c>
      <c r="K410" s="6">
        <v>0.18</v>
      </c>
      <c r="L410" s="2">
        <v>19</v>
      </c>
      <c r="M410" s="7">
        <f t="shared" si="56"/>
        <v>181.07399999999998</v>
      </c>
      <c r="N410" s="8">
        <f t="shared" si="57"/>
        <v>26.93662809917355</v>
      </c>
      <c r="O410" s="9">
        <v>0</v>
      </c>
      <c r="P410" s="8">
        <f t="shared" si="58"/>
        <v>137.55370126990525</v>
      </c>
      <c r="Q410" s="36">
        <f>(M410/1.21-P410)/(M410/1.21)</f>
        <v>8.0817905736961931E-2</v>
      </c>
    </row>
    <row r="411" spans="2:17" ht="14.45" customHeight="1" x14ac:dyDescent="0.25">
      <c r="B411" s="116"/>
      <c r="C411" s="34">
        <v>900</v>
      </c>
      <c r="D411" s="32">
        <v>15</v>
      </c>
      <c r="E411" s="2">
        <v>1.36</v>
      </c>
      <c r="F411" s="2">
        <v>0.22</v>
      </c>
      <c r="G411" s="2">
        <v>1</v>
      </c>
      <c r="H411" s="2">
        <v>-100</v>
      </c>
      <c r="I411" s="2">
        <v>1</v>
      </c>
      <c r="J411" s="2">
        <v>0</v>
      </c>
      <c r="K411" s="6">
        <v>0.18</v>
      </c>
      <c r="L411" s="2">
        <v>24</v>
      </c>
      <c r="M411" s="7">
        <f t="shared" si="56"/>
        <v>263.36</v>
      </c>
      <c r="N411" s="8">
        <f t="shared" si="57"/>
        <v>39.177520661157025</v>
      </c>
      <c r="O411" s="9">
        <v>0</v>
      </c>
      <c r="P411" s="8">
        <f t="shared" si="58"/>
        <v>203.45313041725461</v>
      </c>
      <c r="Q411" s="36">
        <f>(M411/1.21-P411)/(M411/1.21)</f>
        <v>6.5240401712947843E-2</v>
      </c>
    </row>
    <row r="412" spans="2:17" ht="16.5" thickBot="1" x14ac:dyDescent="0.3">
      <c r="B412" s="117"/>
      <c r="C412" s="34">
        <v>1500</v>
      </c>
      <c r="D412" s="32">
        <v>15</v>
      </c>
      <c r="E412" s="2">
        <v>1.37</v>
      </c>
      <c r="F412" s="2">
        <v>0.22</v>
      </c>
      <c r="G412" s="2">
        <v>1</v>
      </c>
      <c r="H412" s="2">
        <v>-160</v>
      </c>
      <c r="I412" s="2">
        <v>1</v>
      </c>
      <c r="J412" s="2">
        <v>0</v>
      </c>
      <c r="K412" s="6">
        <v>0.18</v>
      </c>
      <c r="L412" s="2">
        <v>30</v>
      </c>
      <c r="M412" s="7">
        <f t="shared" si="56"/>
        <v>433.87600000000003</v>
      </c>
      <c r="N412" s="8">
        <f t="shared" si="57"/>
        <v>64.54353719008266</v>
      </c>
      <c r="O412" s="9">
        <v>0</v>
      </c>
      <c r="P412" s="8">
        <f t="shared" si="58"/>
        <v>336.13622011691194</v>
      </c>
      <c r="Q412" s="36">
        <f>(M412/1.21-P412)/(M412/1.21)</f>
        <v>6.257818745110727E-2</v>
      </c>
    </row>
  </sheetData>
  <mergeCells count="56">
    <mergeCell ref="B381:B395"/>
    <mergeCell ref="C381:Q381"/>
    <mergeCell ref="C389:Q389"/>
    <mergeCell ref="B398:B412"/>
    <mergeCell ref="C398:Q398"/>
    <mergeCell ref="C406:Q406"/>
    <mergeCell ref="B351:B378"/>
    <mergeCell ref="B110:B125"/>
    <mergeCell ref="C110:Q110"/>
    <mergeCell ref="C119:Q119"/>
    <mergeCell ref="B321:B348"/>
    <mergeCell ref="B128:B143"/>
    <mergeCell ref="C128:Q128"/>
    <mergeCell ref="C137:Q137"/>
    <mergeCell ref="B146:B161"/>
    <mergeCell ref="C146:Q146"/>
    <mergeCell ref="C155:Q155"/>
    <mergeCell ref="B164:B179"/>
    <mergeCell ref="C164:Q164"/>
    <mergeCell ref="C173:Q173"/>
    <mergeCell ref="B182:B197"/>
    <mergeCell ref="C182:Q182"/>
    <mergeCell ref="B74:B89"/>
    <mergeCell ref="C74:Q74"/>
    <mergeCell ref="C83:Q83"/>
    <mergeCell ref="B92:B107"/>
    <mergeCell ref="C92:Q92"/>
    <mergeCell ref="C101:Q101"/>
    <mergeCell ref="B2:B17"/>
    <mergeCell ref="B20:B35"/>
    <mergeCell ref="B56:B71"/>
    <mergeCell ref="C56:Q56"/>
    <mergeCell ref="C65:Q65"/>
    <mergeCell ref="B38:B53"/>
    <mergeCell ref="C191:Q191"/>
    <mergeCell ref="B200:B215"/>
    <mergeCell ref="C200:Q200"/>
    <mergeCell ref="C209:Q209"/>
    <mergeCell ref="B218:B233"/>
    <mergeCell ref="C218:Q218"/>
    <mergeCell ref="C227:Q227"/>
    <mergeCell ref="B236:B251"/>
    <mergeCell ref="C236:Q236"/>
    <mergeCell ref="C245:Q245"/>
    <mergeCell ref="B254:B269"/>
    <mergeCell ref="C254:Q254"/>
    <mergeCell ref="C263:Q263"/>
    <mergeCell ref="C304:Q304"/>
    <mergeCell ref="C312:Q312"/>
    <mergeCell ref="B272:B286"/>
    <mergeCell ref="C272:Q272"/>
    <mergeCell ref="C280:Q280"/>
    <mergeCell ref="B288:B302"/>
    <mergeCell ref="C288:Q288"/>
    <mergeCell ref="C296:Q296"/>
    <mergeCell ref="B304:B31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8BFB-0984-426F-AB5A-FCEBC2924483}">
  <dimension ref="B1:Q55"/>
  <sheetViews>
    <sheetView topLeftCell="A22" zoomScale="85" zoomScaleNormal="85" workbookViewId="0">
      <selection activeCell="D46" sqref="D46"/>
    </sheetView>
  </sheetViews>
  <sheetFormatPr defaultRowHeight="15" x14ac:dyDescent="0.25"/>
  <cols>
    <col min="2" max="2" width="9" customWidth="1"/>
    <col min="3" max="3" width="22" bestFit="1" customWidth="1"/>
    <col min="4" max="4" width="20.7109375" bestFit="1" customWidth="1"/>
    <col min="5" max="5" width="10.28515625" bestFit="1" customWidth="1"/>
    <col min="6" max="6" width="7.5703125" bestFit="1" customWidth="1"/>
    <col min="7" max="7" width="22" bestFit="1" customWidth="1"/>
    <col min="8" max="8" width="14.140625" bestFit="1" customWidth="1"/>
    <col min="9" max="9" width="18.5703125" bestFit="1" customWidth="1"/>
    <col min="10" max="10" width="13.140625" bestFit="1" customWidth="1"/>
    <col min="11" max="11" width="14.140625" bestFit="1" customWidth="1"/>
    <col min="12" max="13" width="30.28515625" bestFit="1" customWidth="1"/>
    <col min="14" max="14" width="26.7109375" bestFit="1" customWidth="1"/>
    <col min="15" max="15" width="15.42578125" bestFit="1" customWidth="1"/>
    <col min="16" max="16" width="29.7109375" bestFit="1" customWidth="1"/>
    <col min="17" max="17" width="11.5703125" bestFit="1" customWidth="1"/>
  </cols>
  <sheetData>
    <row r="1" spans="2:17" x14ac:dyDescent="0.25">
      <c r="B1" s="118" t="s">
        <v>104</v>
      </c>
      <c r="C1" s="125" t="s">
        <v>102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81" t="s">
        <v>110</v>
      </c>
      <c r="Q1" s="82"/>
    </row>
    <row r="2" spans="2:17" ht="15.75" thickBot="1" x14ac:dyDescent="0.3">
      <c r="B2" s="119"/>
      <c r="C2" s="128" t="s">
        <v>111</v>
      </c>
      <c r="D2" s="129"/>
      <c r="E2" s="129" t="s">
        <v>112</v>
      </c>
      <c r="F2" s="129"/>
      <c r="O2" s="18"/>
      <c r="P2" s="83">
        <v>1.22</v>
      </c>
      <c r="Q2" s="84"/>
    </row>
    <row r="3" spans="2:17" x14ac:dyDescent="0.25">
      <c r="B3" s="119"/>
      <c r="C3" s="28" t="s">
        <v>113</v>
      </c>
      <c r="D3" t="s">
        <v>114</v>
      </c>
      <c r="E3" t="s">
        <v>113</v>
      </c>
      <c r="F3" t="s">
        <v>114</v>
      </c>
      <c r="G3" t="s">
        <v>1</v>
      </c>
      <c r="H3" t="s">
        <v>115</v>
      </c>
      <c r="I3" t="s">
        <v>116</v>
      </c>
      <c r="J3" t="s">
        <v>117</v>
      </c>
      <c r="K3" t="s">
        <v>118</v>
      </c>
      <c r="L3" t="s">
        <v>11</v>
      </c>
      <c r="M3" t="s">
        <v>10</v>
      </c>
      <c r="N3" t="s">
        <v>9</v>
      </c>
      <c r="O3" s="18" t="s">
        <v>15</v>
      </c>
      <c r="P3" t="s">
        <v>119</v>
      </c>
      <c r="Q3" t="s">
        <v>120</v>
      </c>
    </row>
    <row r="4" spans="2:17" x14ac:dyDescent="0.25">
      <c r="B4" s="119"/>
      <c r="C4" s="28">
        <v>0</v>
      </c>
      <c r="D4">
        <v>32</v>
      </c>
      <c r="E4">
        <v>0</v>
      </c>
      <c r="F4">
        <f>ROUND(D4/(I4*J4),2)</f>
        <v>18.32</v>
      </c>
      <c r="G4" s="47">
        <f>ROUND(AVERAGE(E4:F4),2)</f>
        <v>9.16</v>
      </c>
      <c r="H4" s="47">
        <v>0</v>
      </c>
      <c r="I4">
        <v>1.42</v>
      </c>
      <c r="J4">
        <v>1.23</v>
      </c>
      <c r="K4" s="85">
        <v>0</v>
      </c>
      <c r="L4" s="47">
        <f>(G4*I4*J4)+K4+M4</f>
        <v>15.998855999999998</v>
      </c>
      <c r="M4" s="23">
        <v>0</v>
      </c>
      <c r="N4" s="85">
        <f>(L4-M4)/$P$2*0.18</f>
        <v>2.3604869508196717</v>
      </c>
      <c r="O4" s="62">
        <f>(L4/$P$2-N4-G4)/(L4/$P$2)</f>
        <v>0.12150005725409364</v>
      </c>
      <c r="P4" s="85">
        <v>0</v>
      </c>
      <c r="Q4" s="85">
        <f>F4*I4*J4+K4</f>
        <v>31.997711999999996</v>
      </c>
    </row>
    <row r="5" spans="2:17" x14ac:dyDescent="0.25">
      <c r="B5" s="119"/>
      <c r="C5" s="28">
        <v>32</v>
      </c>
      <c r="D5">
        <v>51</v>
      </c>
      <c r="E5">
        <f>F4</f>
        <v>18.32</v>
      </c>
      <c r="F5">
        <f t="shared" ref="F5:F17" si="0">ROUND(D5/(I5*J5),2)</f>
        <v>29.2</v>
      </c>
      <c r="G5" s="47">
        <f t="shared" ref="G5:G17" si="1">ROUND(AVERAGE(E5:F5),2)</f>
        <v>23.76</v>
      </c>
      <c r="H5" s="47">
        <v>0</v>
      </c>
      <c r="I5">
        <v>1.42</v>
      </c>
      <c r="J5">
        <v>1.23</v>
      </c>
      <c r="K5" s="85">
        <v>-12</v>
      </c>
      <c r="L5" s="47">
        <f t="shared" ref="L5:L18" si="2">(G5*I5*J5)+K5+M5</f>
        <v>38.499216000000004</v>
      </c>
      <c r="M5" s="23">
        <v>9</v>
      </c>
      <c r="N5" s="85">
        <f t="shared" ref="N5:N18" si="3">(L5-M5)/$P$2*0.18</f>
        <v>4.3523433442622963</v>
      </c>
      <c r="O5" s="62">
        <f t="shared" ref="O5:O18" si="4">(L5/$P$2-N5-G5)/(L5/$P$2)</f>
        <v>0.10914916085563929</v>
      </c>
      <c r="P5" s="85">
        <f>E5*I5*J5+K5</f>
        <v>19.997711999999996</v>
      </c>
      <c r="Q5" s="85">
        <f>F5*I5*J5+K5</f>
        <v>39.000719999999994</v>
      </c>
    </row>
    <row r="6" spans="2:17" x14ac:dyDescent="0.25">
      <c r="B6" s="119"/>
      <c r="C6" s="28">
        <v>51</v>
      </c>
      <c r="D6">
        <v>80</v>
      </c>
      <c r="E6">
        <f t="shared" ref="E6:E37" si="5">F5</f>
        <v>29.2</v>
      </c>
      <c r="F6">
        <f t="shared" si="0"/>
        <v>45.8</v>
      </c>
      <c r="G6" s="47">
        <f t="shared" si="1"/>
        <v>37.5</v>
      </c>
      <c r="H6" s="47">
        <v>0</v>
      </c>
      <c r="I6">
        <v>1.42</v>
      </c>
      <c r="J6">
        <v>1.23</v>
      </c>
      <c r="K6" s="85">
        <v>-18</v>
      </c>
      <c r="L6" s="47">
        <f t="shared" si="2"/>
        <v>60.497500000000002</v>
      </c>
      <c r="M6" s="23">
        <v>13</v>
      </c>
      <c r="N6" s="85">
        <f t="shared" si="3"/>
        <v>7.0078278688524591</v>
      </c>
      <c r="O6" s="62">
        <f t="shared" si="4"/>
        <v>0.10244968800363656</v>
      </c>
      <c r="P6" s="85">
        <f t="shared" ref="P6:P37" si="6">E6*I6*J6+K6</f>
        <v>33.000719999999994</v>
      </c>
      <c r="Q6" s="85">
        <f t="shared" ref="Q6:Q17" si="7">F6*I6*J6+K6</f>
        <v>61.994279999999989</v>
      </c>
    </row>
    <row r="7" spans="2:17" x14ac:dyDescent="0.25">
      <c r="B7" s="119"/>
      <c r="C7" s="28">
        <v>80</v>
      </c>
      <c r="D7">
        <v>120</v>
      </c>
      <c r="E7">
        <f t="shared" si="5"/>
        <v>45.8</v>
      </c>
      <c r="F7">
        <f t="shared" si="0"/>
        <v>68.7</v>
      </c>
      <c r="G7" s="47">
        <f t="shared" si="1"/>
        <v>57.25</v>
      </c>
      <c r="H7" s="47">
        <v>0</v>
      </c>
      <c r="I7">
        <v>1.42</v>
      </c>
      <c r="J7">
        <v>1.23</v>
      </c>
      <c r="K7" s="85">
        <v>-28</v>
      </c>
      <c r="L7" s="47">
        <f t="shared" si="2"/>
        <v>91.992850000000004</v>
      </c>
      <c r="M7" s="23">
        <v>20</v>
      </c>
      <c r="N7" s="85">
        <f t="shared" si="3"/>
        <v>10.621895901639345</v>
      </c>
      <c r="O7" s="62">
        <f t="shared" si="4"/>
        <v>9.98896870789414E-2</v>
      </c>
      <c r="P7" s="85">
        <f t="shared" si="6"/>
        <v>51.994279999999989</v>
      </c>
      <c r="Q7" s="85">
        <f t="shared" si="7"/>
        <v>91.991420000000005</v>
      </c>
    </row>
    <row r="8" spans="2:17" x14ac:dyDescent="0.25">
      <c r="B8" s="119"/>
      <c r="C8" s="28">
        <v>120</v>
      </c>
      <c r="D8">
        <v>160</v>
      </c>
      <c r="E8">
        <f t="shared" si="5"/>
        <v>68.7</v>
      </c>
      <c r="F8">
        <f t="shared" si="0"/>
        <v>91.61</v>
      </c>
      <c r="G8" s="47">
        <f t="shared" si="1"/>
        <v>80.16</v>
      </c>
      <c r="H8" s="47">
        <v>0</v>
      </c>
      <c r="I8">
        <v>1.42</v>
      </c>
      <c r="J8">
        <v>1.23</v>
      </c>
      <c r="K8" s="85">
        <v>-33</v>
      </c>
      <c r="L8" s="47">
        <f t="shared" si="2"/>
        <v>130.00745599999999</v>
      </c>
      <c r="M8" s="23">
        <v>23</v>
      </c>
      <c r="N8" s="85">
        <f t="shared" si="3"/>
        <v>15.787985311475408</v>
      </c>
      <c r="O8" s="62">
        <f t="shared" si="4"/>
        <v>9.96167013682661E-2</v>
      </c>
      <c r="P8" s="85">
        <f t="shared" si="6"/>
        <v>86.991420000000005</v>
      </c>
      <c r="Q8" s="85">
        <f t="shared" si="7"/>
        <v>127.00602599999999</v>
      </c>
    </row>
    <row r="9" spans="2:17" x14ac:dyDescent="0.25">
      <c r="B9" s="119"/>
      <c r="C9" s="28">
        <v>160</v>
      </c>
      <c r="D9">
        <v>200</v>
      </c>
      <c r="E9">
        <f t="shared" si="5"/>
        <v>91.61</v>
      </c>
      <c r="F9">
        <f t="shared" si="0"/>
        <v>114.51</v>
      </c>
      <c r="G9" s="47">
        <f t="shared" si="1"/>
        <v>103.06</v>
      </c>
      <c r="H9" s="47">
        <v>0</v>
      </c>
      <c r="I9">
        <v>1.42</v>
      </c>
      <c r="J9">
        <v>1.23</v>
      </c>
      <c r="K9" s="85">
        <v>-40</v>
      </c>
      <c r="L9" s="47">
        <f t="shared" si="2"/>
        <v>167.00459599999999</v>
      </c>
      <c r="M9" s="23">
        <v>27</v>
      </c>
      <c r="N9" s="85">
        <f t="shared" si="3"/>
        <v>20.656415803278687</v>
      </c>
      <c r="O9" s="62">
        <f t="shared" si="4"/>
        <v>9.622830212409246E-2</v>
      </c>
      <c r="P9" s="85">
        <f t="shared" si="6"/>
        <v>120.00602599999999</v>
      </c>
      <c r="Q9" s="85">
        <f t="shared" si="7"/>
        <v>160.00316599999999</v>
      </c>
    </row>
    <row r="10" spans="2:17" x14ac:dyDescent="0.25">
      <c r="B10" s="119"/>
      <c r="C10" s="28">
        <v>200</v>
      </c>
      <c r="D10">
        <v>240</v>
      </c>
      <c r="E10">
        <f t="shared" si="5"/>
        <v>114.51</v>
      </c>
      <c r="F10">
        <f t="shared" si="0"/>
        <v>137.41</v>
      </c>
      <c r="G10" s="47">
        <f t="shared" si="1"/>
        <v>125.96</v>
      </c>
      <c r="H10" s="47">
        <v>0</v>
      </c>
      <c r="I10">
        <v>1.42</v>
      </c>
      <c r="J10">
        <v>1.23</v>
      </c>
      <c r="K10" s="85">
        <v>-45</v>
      </c>
      <c r="L10" s="47">
        <f t="shared" si="2"/>
        <v>204.00173599999997</v>
      </c>
      <c r="M10" s="23">
        <v>29</v>
      </c>
      <c r="N10" s="85">
        <f t="shared" si="3"/>
        <v>25.819928262295079</v>
      </c>
      <c r="O10" s="62">
        <f t="shared" si="4"/>
        <v>9.2304231763988484E-2</v>
      </c>
      <c r="P10" s="85">
        <f t="shared" si="6"/>
        <v>155.00316599999999</v>
      </c>
      <c r="Q10" s="85">
        <f t="shared" si="7"/>
        <v>195.00030599999999</v>
      </c>
    </row>
    <row r="11" spans="2:17" x14ac:dyDescent="0.25">
      <c r="B11" s="119"/>
      <c r="C11" s="28">
        <v>240</v>
      </c>
      <c r="D11">
        <v>280</v>
      </c>
      <c r="E11">
        <f t="shared" si="5"/>
        <v>137.41</v>
      </c>
      <c r="F11">
        <f t="shared" si="0"/>
        <v>160.31</v>
      </c>
      <c r="G11" s="47">
        <f t="shared" si="1"/>
        <v>148.86000000000001</v>
      </c>
      <c r="H11" s="47">
        <v>0</v>
      </c>
      <c r="I11">
        <v>1.42</v>
      </c>
      <c r="J11">
        <v>1.23</v>
      </c>
      <c r="K11" s="85">
        <v>-50</v>
      </c>
      <c r="L11" s="47">
        <f t="shared" si="2"/>
        <v>240.998876</v>
      </c>
      <c r="M11" s="23">
        <v>31</v>
      </c>
      <c r="N11" s="85">
        <f t="shared" si="3"/>
        <v>30.983440721311474</v>
      </c>
      <c r="O11" s="62">
        <f t="shared" si="4"/>
        <v>8.9584975159801197E-2</v>
      </c>
      <c r="P11" s="85">
        <f t="shared" si="6"/>
        <v>190.00030599999999</v>
      </c>
      <c r="Q11" s="85">
        <f t="shared" si="7"/>
        <v>229.99744599999997</v>
      </c>
    </row>
    <row r="12" spans="2:17" x14ac:dyDescent="0.25">
      <c r="B12" s="119"/>
      <c r="C12" s="28">
        <v>280</v>
      </c>
      <c r="D12">
        <v>425</v>
      </c>
      <c r="E12">
        <f t="shared" si="5"/>
        <v>160.31</v>
      </c>
      <c r="F12">
        <f t="shared" si="0"/>
        <v>243.33</v>
      </c>
      <c r="G12" s="47">
        <f t="shared" si="1"/>
        <v>201.82</v>
      </c>
      <c r="H12" s="47">
        <v>0</v>
      </c>
      <c r="I12">
        <v>1.42</v>
      </c>
      <c r="J12">
        <v>1.23</v>
      </c>
      <c r="K12" s="85">
        <v>-53</v>
      </c>
      <c r="L12" s="47">
        <f t="shared" si="2"/>
        <v>328.49881199999993</v>
      </c>
      <c r="M12" s="23">
        <v>29</v>
      </c>
      <c r="N12" s="85">
        <f t="shared" si="3"/>
        <v>44.188349311475399</v>
      </c>
      <c r="O12" s="62">
        <f t="shared" si="4"/>
        <v>8.6358381837922563E-2</v>
      </c>
      <c r="P12" s="85">
        <f t="shared" si="6"/>
        <v>226.99744599999997</v>
      </c>
      <c r="Q12" s="85">
        <f t="shared" si="7"/>
        <v>372.00017799999995</v>
      </c>
    </row>
    <row r="13" spans="2:17" x14ac:dyDescent="0.25">
      <c r="B13" s="119"/>
      <c r="C13" s="28">
        <v>425</v>
      </c>
      <c r="D13">
        <v>500</v>
      </c>
      <c r="E13">
        <f t="shared" si="5"/>
        <v>243.33</v>
      </c>
      <c r="F13">
        <f t="shared" si="0"/>
        <v>286.27</v>
      </c>
      <c r="G13" s="47">
        <f t="shared" si="1"/>
        <v>264.8</v>
      </c>
      <c r="H13" s="47">
        <v>0</v>
      </c>
      <c r="I13">
        <v>1.42</v>
      </c>
      <c r="J13">
        <v>1.23</v>
      </c>
      <c r="K13" s="85">
        <v>-68</v>
      </c>
      <c r="L13" s="47">
        <f t="shared" si="2"/>
        <v>429.49968000000001</v>
      </c>
      <c r="M13" s="23">
        <v>35</v>
      </c>
      <c r="N13" s="85">
        <f t="shared" si="3"/>
        <v>58.204870819672131</v>
      </c>
      <c r="O13" s="62">
        <f t="shared" si="4"/>
        <v>8.2500032596066225E-2</v>
      </c>
      <c r="P13" s="85">
        <f t="shared" si="6"/>
        <v>357.00017799999995</v>
      </c>
      <c r="Q13" s="85">
        <f t="shared" si="7"/>
        <v>431.99918199999991</v>
      </c>
    </row>
    <row r="14" spans="2:17" x14ac:dyDescent="0.25">
      <c r="B14" s="119"/>
      <c r="C14" s="28">
        <v>500</v>
      </c>
      <c r="D14">
        <v>600</v>
      </c>
      <c r="E14">
        <f t="shared" si="5"/>
        <v>286.27</v>
      </c>
      <c r="F14">
        <f t="shared" si="0"/>
        <v>343.52</v>
      </c>
      <c r="G14" s="47">
        <f t="shared" si="1"/>
        <v>314.89999999999998</v>
      </c>
      <c r="H14" s="47">
        <v>0</v>
      </c>
      <c r="I14">
        <v>1.42</v>
      </c>
      <c r="J14">
        <v>1.23</v>
      </c>
      <c r="K14" s="85">
        <v>-78</v>
      </c>
      <c r="L14" s="47">
        <f t="shared" si="2"/>
        <v>511.00433999999996</v>
      </c>
      <c r="M14" s="23">
        <v>39</v>
      </c>
      <c r="N14" s="85">
        <f t="shared" si="3"/>
        <v>69.639984590163934</v>
      </c>
      <c r="O14" s="62">
        <f t="shared" si="4"/>
        <v>8.192799067029452E-2</v>
      </c>
      <c r="P14" s="85">
        <f t="shared" si="6"/>
        <v>421.99918199999991</v>
      </c>
      <c r="Q14" s="85">
        <f t="shared" si="7"/>
        <v>521.99203199999999</v>
      </c>
    </row>
    <row r="15" spans="2:17" x14ac:dyDescent="0.25">
      <c r="B15" s="119"/>
      <c r="C15" s="28">
        <v>600</v>
      </c>
      <c r="D15">
        <v>750</v>
      </c>
      <c r="E15">
        <f t="shared" si="5"/>
        <v>343.52</v>
      </c>
      <c r="F15">
        <f t="shared" si="0"/>
        <v>429.41</v>
      </c>
      <c r="G15" s="47">
        <f t="shared" si="1"/>
        <v>386.47</v>
      </c>
      <c r="H15" s="47">
        <v>0</v>
      </c>
      <c r="I15">
        <v>1.42</v>
      </c>
      <c r="J15">
        <v>1.23</v>
      </c>
      <c r="K15" s="85">
        <v>-85</v>
      </c>
      <c r="L15" s="47">
        <f t="shared" si="2"/>
        <v>629.00850200000002</v>
      </c>
      <c r="M15" s="23">
        <v>39</v>
      </c>
      <c r="N15" s="85">
        <f t="shared" si="3"/>
        <v>87.050434721311476</v>
      </c>
      <c r="O15" s="62">
        <f t="shared" si="4"/>
        <v>8.1578502479446494E-2</v>
      </c>
      <c r="P15" s="85">
        <f t="shared" si="6"/>
        <v>514.99203199999999</v>
      </c>
      <c r="Q15" s="85">
        <f t="shared" si="7"/>
        <v>665.00750600000003</v>
      </c>
    </row>
    <row r="16" spans="2:17" x14ac:dyDescent="0.25">
      <c r="B16" s="119"/>
      <c r="C16" s="28">
        <v>750</v>
      </c>
      <c r="D16">
        <v>900</v>
      </c>
      <c r="E16">
        <f t="shared" si="5"/>
        <v>429.41</v>
      </c>
      <c r="F16">
        <f t="shared" si="0"/>
        <v>515.29</v>
      </c>
      <c r="G16" s="47">
        <f t="shared" si="1"/>
        <v>472.35</v>
      </c>
      <c r="H16" s="47">
        <v>0</v>
      </c>
      <c r="I16">
        <v>1.42</v>
      </c>
      <c r="J16">
        <v>1.23</v>
      </c>
      <c r="K16" s="85">
        <v>-95</v>
      </c>
      <c r="L16" s="47">
        <f t="shared" si="2"/>
        <v>769.00650999999993</v>
      </c>
      <c r="M16" s="23">
        <v>39</v>
      </c>
      <c r="N16" s="85">
        <f t="shared" si="3"/>
        <v>107.70587852459016</v>
      </c>
      <c r="O16" s="62">
        <f t="shared" si="4"/>
        <v>7.9763093553005038E-2</v>
      </c>
      <c r="P16" s="85">
        <f t="shared" si="6"/>
        <v>655.00750600000003</v>
      </c>
      <c r="Q16" s="85">
        <f t="shared" si="7"/>
        <v>805.00551399999995</v>
      </c>
    </row>
    <row r="17" spans="2:17" x14ac:dyDescent="0.25">
      <c r="B17" s="119"/>
      <c r="C17" s="28">
        <v>900</v>
      </c>
      <c r="D17">
        <v>1100</v>
      </c>
      <c r="E17">
        <f t="shared" si="5"/>
        <v>515.29</v>
      </c>
      <c r="F17">
        <f t="shared" si="0"/>
        <v>629.79999999999995</v>
      </c>
      <c r="G17" s="47">
        <f t="shared" si="1"/>
        <v>572.54999999999995</v>
      </c>
      <c r="H17" s="47">
        <v>0</v>
      </c>
      <c r="I17">
        <v>1.42</v>
      </c>
      <c r="J17">
        <v>1.23</v>
      </c>
      <c r="K17" s="85">
        <v>-106</v>
      </c>
      <c r="L17" s="47">
        <f t="shared" si="2"/>
        <v>933.01582999999982</v>
      </c>
      <c r="M17" s="23">
        <v>39</v>
      </c>
      <c r="N17" s="85">
        <f t="shared" si="3"/>
        <v>131.90397491803276</v>
      </c>
      <c r="O17" s="62">
        <f t="shared" si="4"/>
        <v>7.886466470777885E-2</v>
      </c>
      <c r="P17" s="85">
        <f t="shared" si="6"/>
        <v>794.00551399999995</v>
      </c>
      <c r="Q17" s="85">
        <f t="shared" si="7"/>
        <v>994.00867999999991</v>
      </c>
    </row>
    <row r="18" spans="2:17" x14ac:dyDescent="0.25">
      <c r="B18" s="119"/>
      <c r="C18" s="28">
        <v>1100</v>
      </c>
      <c r="E18">
        <f t="shared" si="5"/>
        <v>629.79999999999995</v>
      </c>
      <c r="G18" s="47">
        <v>900</v>
      </c>
      <c r="H18" s="47">
        <v>0</v>
      </c>
      <c r="I18">
        <v>1.42</v>
      </c>
      <c r="J18">
        <v>1.23</v>
      </c>
      <c r="K18" s="85">
        <v>-140</v>
      </c>
      <c r="L18" s="47">
        <f t="shared" si="2"/>
        <v>1470.94</v>
      </c>
      <c r="M18" s="23">
        <v>39</v>
      </c>
      <c r="N18" s="85">
        <f t="shared" si="3"/>
        <v>211.26983606557377</v>
      </c>
      <c r="O18" s="62">
        <f t="shared" si="4"/>
        <v>7.8311012005928174E-2</v>
      </c>
      <c r="P18" s="85">
        <f t="shared" si="6"/>
        <v>960.00867999999991</v>
      </c>
      <c r="Q18" s="85"/>
    </row>
    <row r="19" spans="2:17" x14ac:dyDescent="0.25">
      <c r="B19" s="119"/>
      <c r="C19" s="28"/>
      <c r="O19" s="18"/>
      <c r="P19" s="85"/>
      <c r="Q19" s="47"/>
    </row>
    <row r="20" spans="2:17" x14ac:dyDescent="0.25">
      <c r="B20" s="119"/>
      <c r="C20" s="128" t="s">
        <v>103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85"/>
      <c r="Q20" s="47"/>
    </row>
    <row r="21" spans="2:17" x14ac:dyDescent="0.25">
      <c r="B21" s="119"/>
      <c r="C21" s="128" t="s">
        <v>111</v>
      </c>
      <c r="D21" s="129"/>
      <c r="E21" s="129" t="s">
        <v>112</v>
      </c>
      <c r="F21" s="129"/>
      <c r="O21" s="18"/>
      <c r="P21" s="85"/>
      <c r="Q21" s="47"/>
    </row>
    <row r="22" spans="2:17" x14ac:dyDescent="0.25">
      <c r="B22" s="119"/>
      <c r="C22" s="28" t="s">
        <v>113</v>
      </c>
      <c r="D22" t="s">
        <v>114</v>
      </c>
      <c r="E22" t="s">
        <v>113</v>
      </c>
      <c r="F22" t="s">
        <v>114</v>
      </c>
      <c r="G22" t="s">
        <v>1</v>
      </c>
      <c r="H22" t="s">
        <v>115</v>
      </c>
      <c r="I22" t="s">
        <v>116</v>
      </c>
      <c r="J22" t="s">
        <v>117</v>
      </c>
      <c r="K22" t="s">
        <v>118</v>
      </c>
      <c r="L22" t="s">
        <v>11</v>
      </c>
      <c r="M22" t="s">
        <v>10</v>
      </c>
      <c r="N22" t="s">
        <v>9</v>
      </c>
      <c r="O22" s="18" t="s">
        <v>15</v>
      </c>
      <c r="P22" s="85"/>
      <c r="Q22" s="47"/>
    </row>
    <row r="23" spans="2:17" x14ac:dyDescent="0.25">
      <c r="B23" s="119"/>
      <c r="C23" s="28">
        <v>0</v>
      </c>
      <c r="D23">
        <v>32</v>
      </c>
      <c r="E23">
        <v>0</v>
      </c>
      <c r="F23">
        <f>ROUND(D23/(I23*J23),2)</f>
        <v>19.559999999999999</v>
      </c>
      <c r="G23" s="47">
        <f>ROUND(AVERAGE(E23:F23),2)</f>
        <v>9.7799999999999994</v>
      </c>
      <c r="H23" s="47">
        <v>0</v>
      </c>
      <c r="I23">
        <v>1.33</v>
      </c>
      <c r="J23">
        <v>1.23</v>
      </c>
      <c r="K23" s="85">
        <v>-6</v>
      </c>
      <c r="L23" s="47">
        <f>(G23*I23*J23)+K23+M23</f>
        <v>15.999102000000001</v>
      </c>
      <c r="M23" s="23">
        <v>6</v>
      </c>
      <c r="N23" s="85">
        <f>(L23-M23)/$P$2*0.18</f>
        <v>1.4752773442622953</v>
      </c>
      <c r="O23" s="62">
        <f>(L23/$P$2-N23-G23)/(L23/$P$2)</f>
        <v>0.14173693248533581</v>
      </c>
      <c r="P23" s="85">
        <v>0</v>
      </c>
      <c r="Q23" s="85">
        <f>F23*I23*J23+K23</f>
        <v>25.998204000000001</v>
      </c>
    </row>
    <row r="24" spans="2:17" x14ac:dyDescent="0.25">
      <c r="B24" s="119"/>
      <c r="C24" s="28">
        <v>32</v>
      </c>
      <c r="D24">
        <v>51</v>
      </c>
      <c r="E24">
        <f t="shared" si="5"/>
        <v>19.559999999999999</v>
      </c>
      <c r="F24">
        <f t="shared" ref="F24:F36" si="8">ROUND(D24/(I24*J24),2)</f>
        <v>31.18</v>
      </c>
      <c r="G24" s="47">
        <f t="shared" ref="G24:G36" si="9">ROUND(AVERAGE(E24:F24),2)</f>
        <v>25.37</v>
      </c>
      <c r="H24" s="47">
        <v>0</v>
      </c>
      <c r="I24">
        <v>1.33</v>
      </c>
      <c r="J24">
        <v>1.23</v>
      </c>
      <c r="K24" s="85">
        <v>-9</v>
      </c>
      <c r="L24" s="47">
        <f t="shared" ref="L24:L37" si="10">(G24*I24*J24)+K24+M24</f>
        <v>42.502783000000001</v>
      </c>
      <c r="M24" s="23">
        <v>10</v>
      </c>
      <c r="N24" s="85">
        <f t="shared" ref="N24:N37" si="11">(L24-M24)/$P$2*0.18</f>
        <v>4.7954925737704919</v>
      </c>
      <c r="O24" s="62">
        <f t="shared" ref="O24:O37" si="12">(L24/$P$2-N24-G24)/(L24/$P$2)</f>
        <v>0.13412961828875999</v>
      </c>
      <c r="P24" s="85">
        <f t="shared" si="6"/>
        <v>22.998204000000001</v>
      </c>
      <c r="Q24" s="85">
        <f t="shared" ref="Q24:Q36" si="13">F24*I24*J24+K24</f>
        <v>42.007362000000001</v>
      </c>
    </row>
    <row r="25" spans="2:17" x14ac:dyDescent="0.25">
      <c r="B25" s="119"/>
      <c r="C25" s="28">
        <v>51</v>
      </c>
      <c r="D25">
        <v>80</v>
      </c>
      <c r="E25">
        <f t="shared" si="5"/>
        <v>31.18</v>
      </c>
      <c r="F25">
        <f t="shared" si="8"/>
        <v>48.9</v>
      </c>
      <c r="G25" s="47">
        <f t="shared" si="9"/>
        <v>40.04</v>
      </c>
      <c r="H25" s="47">
        <v>0</v>
      </c>
      <c r="I25">
        <v>1.33</v>
      </c>
      <c r="J25">
        <v>1.23</v>
      </c>
      <c r="K25" s="85">
        <v>-13</v>
      </c>
      <c r="L25" s="47">
        <f t="shared" si="10"/>
        <v>65.501435999999998</v>
      </c>
      <c r="M25" s="23">
        <v>13</v>
      </c>
      <c r="N25" s="85">
        <f t="shared" si="11"/>
        <v>7.7461135081967214</v>
      </c>
      <c r="O25" s="62">
        <f t="shared" si="12"/>
        <v>0.10995755146497861</v>
      </c>
      <c r="P25" s="85">
        <f t="shared" si="6"/>
        <v>38.007362000000001</v>
      </c>
      <c r="Q25" s="85">
        <f t="shared" si="13"/>
        <v>66.99551000000001</v>
      </c>
    </row>
    <row r="26" spans="2:17" x14ac:dyDescent="0.25">
      <c r="B26" s="119"/>
      <c r="C26" s="28">
        <v>80</v>
      </c>
      <c r="D26">
        <v>120</v>
      </c>
      <c r="E26">
        <f t="shared" si="5"/>
        <v>48.9</v>
      </c>
      <c r="F26">
        <f t="shared" si="8"/>
        <v>73.349999999999994</v>
      </c>
      <c r="G26" s="47">
        <f t="shared" si="9"/>
        <v>61.13</v>
      </c>
      <c r="H26" s="47">
        <v>0</v>
      </c>
      <c r="I26">
        <v>1.33</v>
      </c>
      <c r="J26">
        <v>1.23</v>
      </c>
      <c r="K26" s="85">
        <v>-19</v>
      </c>
      <c r="L26" s="47">
        <f t="shared" si="10"/>
        <v>100.00256700000001</v>
      </c>
      <c r="M26" s="23">
        <v>19</v>
      </c>
      <c r="N26" s="85">
        <f t="shared" si="11"/>
        <v>11.951198409836067</v>
      </c>
      <c r="O26" s="62">
        <f t="shared" si="12"/>
        <v>0.10843226594373327</v>
      </c>
      <c r="P26" s="85">
        <f t="shared" si="6"/>
        <v>60.99551000000001</v>
      </c>
      <c r="Q26" s="85">
        <f t="shared" si="13"/>
        <v>100.99326499999999</v>
      </c>
    </row>
    <row r="27" spans="2:17" x14ac:dyDescent="0.25">
      <c r="B27" s="119"/>
      <c r="C27" s="28">
        <v>120</v>
      </c>
      <c r="D27">
        <v>160</v>
      </c>
      <c r="E27">
        <f t="shared" si="5"/>
        <v>73.349999999999994</v>
      </c>
      <c r="F27">
        <f t="shared" si="8"/>
        <v>97.81</v>
      </c>
      <c r="G27" s="47">
        <f t="shared" si="9"/>
        <v>85.58</v>
      </c>
      <c r="H27" s="47">
        <v>0</v>
      </c>
      <c r="I27">
        <v>1.33</v>
      </c>
      <c r="J27">
        <v>1.23</v>
      </c>
      <c r="K27" s="85">
        <v>-25</v>
      </c>
      <c r="L27" s="47">
        <f t="shared" si="10"/>
        <v>139.00032199999998</v>
      </c>
      <c r="M27" s="23">
        <v>24</v>
      </c>
      <c r="N27" s="85">
        <f t="shared" si="11"/>
        <v>16.967260622950818</v>
      </c>
      <c r="O27" s="62">
        <f t="shared" si="12"/>
        <v>9.9946991777472266E-2</v>
      </c>
      <c r="P27" s="85">
        <f t="shared" si="6"/>
        <v>94.993264999999994</v>
      </c>
      <c r="Q27" s="85">
        <f t="shared" si="13"/>
        <v>135.00737899999999</v>
      </c>
    </row>
    <row r="28" spans="2:17" x14ac:dyDescent="0.25">
      <c r="B28" s="119"/>
      <c r="C28" s="28">
        <v>160</v>
      </c>
      <c r="D28">
        <v>200</v>
      </c>
      <c r="E28">
        <f t="shared" si="5"/>
        <v>97.81</v>
      </c>
      <c r="F28">
        <f t="shared" si="8"/>
        <v>122.26</v>
      </c>
      <c r="G28" s="47">
        <f t="shared" si="9"/>
        <v>110.04</v>
      </c>
      <c r="H28" s="47">
        <v>0</v>
      </c>
      <c r="I28">
        <v>1.33</v>
      </c>
      <c r="J28">
        <v>1.23</v>
      </c>
      <c r="K28" s="85">
        <v>-30</v>
      </c>
      <c r="L28" s="47">
        <f t="shared" si="10"/>
        <v>178.01443600000002</v>
      </c>
      <c r="M28" s="23">
        <v>28</v>
      </c>
      <c r="N28" s="85">
        <f t="shared" si="11"/>
        <v>22.133277442622955</v>
      </c>
      <c r="O28" s="62">
        <f t="shared" si="12"/>
        <v>9.4166731062193212E-2</v>
      </c>
      <c r="P28" s="85">
        <f t="shared" si="6"/>
        <v>130.00737899999999</v>
      </c>
      <c r="Q28" s="85">
        <f t="shared" si="13"/>
        <v>170.00513400000003</v>
      </c>
    </row>
    <row r="29" spans="2:17" x14ac:dyDescent="0.25">
      <c r="B29" s="119"/>
      <c r="C29" s="28">
        <v>200</v>
      </c>
      <c r="D29">
        <v>240</v>
      </c>
      <c r="E29">
        <f t="shared" si="5"/>
        <v>122.26</v>
      </c>
      <c r="F29">
        <f t="shared" si="8"/>
        <v>146.71</v>
      </c>
      <c r="G29" s="47">
        <f t="shared" si="9"/>
        <v>134.49</v>
      </c>
      <c r="H29" s="47">
        <v>0</v>
      </c>
      <c r="I29">
        <v>1.33</v>
      </c>
      <c r="J29">
        <v>1.23</v>
      </c>
      <c r="K29" s="85">
        <v>-35</v>
      </c>
      <c r="L29" s="47">
        <f t="shared" si="10"/>
        <v>217.01219100000003</v>
      </c>
      <c r="M29" s="23">
        <v>32</v>
      </c>
      <c r="N29" s="85">
        <f t="shared" si="11"/>
        <v>27.296880639344266</v>
      </c>
      <c r="O29" s="62">
        <f t="shared" si="12"/>
        <v>9.0465869818345826E-2</v>
      </c>
      <c r="P29" s="85">
        <f t="shared" si="6"/>
        <v>165.00513400000003</v>
      </c>
      <c r="Q29" s="85">
        <f t="shared" si="13"/>
        <v>205.00288900000004</v>
      </c>
    </row>
    <row r="30" spans="2:17" x14ac:dyDescent="0.25">
      <c r="B30" s="119"/>
      <c r="C30" s="28">
        <v>240</v>
      </c>
      <c r="D30">
        <v>280</v>
      </c>
      <c r="E30">
        <f t="shared" si="5"/>
        <v>146.71</v>
      </c>
      <c r="F30">
        <f t="shared" si="8"/>
        <v>171.16</v>
      </c>
      <c r="G30" s="47">
        <f t="shared" si="9"/>
        <v>158.94</v>
      </c>
      <c r="H30" s="47">
        <v>0</v>
      </c>
      <c r="I30">
        <v>1.33</v>
      </c>
      <c r="J30">
        <v>1.23</v>
      </c>
      <c r="K30" s="85">
        <v>-40</v>
      </c>
      <c r="L30" s="47">
        <f t="shared" si="10"/>
        <v>256.00994600000001</v>
      </c>
      <c r="M30" s="23">
        <v>36</v>
      </c>
      <c r="N30" s="85">
        <f t="shared" si="11"/>
        <v>32.460483836065578</v>
      </c>
      <c r="O30" s="62">
        <f t="shared" si="12"/>
        <v>8.789250602005913E-2</v>
      </c>
      <c r="P30" s="85">
        <f t="shared" si="6"/>
        <v>200.00288900000004</v>
      </c>
      <c r="Q30" s="85">
        <f t="shared" si="13"/>
        <v>240.00064399999997</v>
      </c>
    </row>
    <row r="31" spans="2:17" x14ac:dyDescent="0.25">
      <c r="B31" s="119"/>
      <c r="C31" s="28">
        <v>280</v>
      </c>
      <c r="D31">
        <v>425</v>
      </c>
      <c r="E31">
        <f t="shared" si="5"/>
        <v>171.16</v>
      </c>
      <c r="F31">
        <f t="shared" si="8"/>
        <v>259.8</v>
      </c>
      <c r="G31" s="47">
        <f t="shared" si="9"/>
        <v>215.48</v>
      </c>
      <c r="H31" s="47">
        <v>0</v>
      </c>
      <c r="I31">
        <v>1.33</v>
      </c>
      <c r="J31">
        <v>1.23</v>
      </c>
      <c r="K31" s="85">
        <v>-48</v>
      </c>
      <c r="L31" s="47">
        <f t="shared" si="10"/>
        <v>347.50373199999996</v>
      </c>
      <c r="M31" s="23">
        <v>43</v>
      </c>
      <c r="N31" s="85">
        <f t="shared" si="11"/>
        <v>44.926780131147531</v>
      </c>
      <c r="O31" s="62">
        <f t="shared" si="12"/>
        <v>8.5775942803399924E-2</v>
      </c>
      <c r="P31" s="85">
        <f t="shared" si="6"/>
        <v>232.00064399999997</v>
      </c>
      <c r="Q31" s="85">
        <f t="shared" si="13"/>
        <v>377.00682000000006</v>
      </c>
    </row>
    <row r="32" spans="2:17" x14ac:dyDescent="0.25">
      <c r="B32" s="119"/>
      <c r="C32" s="28">
        <v>425</v>
      </c>
      <c r="D32">
        <v>500</v>
      </c>
      <c r="E32">
        <f t="shared" si="5"/>
        <v>259.8</v>
      </c>
      <c r="F32">
        <f t="shared" si="8"/>
        <v>305.64</v>
      </c>
      <c r="G32" s="47">
        <f t="shared" si="9"/>
        <v>282.72000000000003</v>
      </c>
      <c r="H32" s="47">
        <v>0</v>
      </c>
      <c r="I32">
        <v>1.33</v>
      </c>
      <c r="J32">
        <v>1.23</v>
      </c>
      <c r="K32" s="85">
        <v>-55</v>
      </c>
      <c r="L32" s="47">
        <f t="shared" si="10"/>
        <v>455.5016480000001</v>
      </c>
      <c r="M32" s="23">
        <v>48</v>
      </c>
      <c r="N32" s="85">
        <f t="shared" si="11"/>
        <v>60.123193967213133</v>
      </c>
      <c r="O32" s="62">
        <f t="shared" si="12"/>
        <v>8.1740541496350502E-2</v>
      </c>
      <c r="P32" s="85">
        <f t="shared" si="6"/>
        <v>370.00682000000006</v>
      </c>
      <c r="Q32" s="85">
        <f t="shared" si="13"/>
        <v>444.99647599999997</v>
      </c>
    </row>
    <row r="33" spans="2:17" x14ac:dyDescent="0.25">
      <c r="B33" s="119"/>
      <c r="C33" s="28">
        <v>500</v>
      </c>
      <c r="D33">
        <v>600</v>
      </c>
      <c r="E33">
        <f t="shared" si="5"/>
        <v>305.64</v>
      </c>
      <c r="F33">
        <f t="shared" si="8"/>
        <v>366.77</v>
      </c>
      <c r="G33" s="47">
        <f t="shared" si="9"/>
        <v>336.21</v>
      </c>
      <c r="H33" s="47">
        <v>0</v>
      </c>
      <c r="I33">
        <v>1.33</v>
      </c>
      <c r="J33">
        <v>1.23</v>
      </c>
      <c r="K33" s="85">
        <v>-57</v>
      </c>
      <c r="L33" s="47">
        <f t="shared" si="10"/>
        <v>543.00593900000001</v>
      </c>
      <c r="M33" s="23">
        <v>50</v>
      </c>
      <c r="N33" s="85">
        <f t="shared" si="11"/>
        <v>72.738581163934427</v>
      </c>
      <c r="O33" s="62">
        <f t="shared" si="12"/>
        <v>8.1193715967810165E-2</v>
      </c>
      <c r="P33" s="85">
        <f t="shared" si="6"/>
        <v>442.99647599999997</v>
      </c>
      <c r="Q33" s="85">
        <f t="shared" si="13"/>
        <v>542.99904300000003</v>
      </c>
    </row>
    <row r="34" spans="2:17" x14ac:dyDescent="0.25">
      <c r="B34" s="119"/>
      <c r="C34" s="28">
        <v>600</v>
      </c>
      <c r="D34">
        <v>750</v>
      </c>
      <c r="E34">
        <f t="shared" si="5"/>
        <v>366.77</v>
      </c>
      <c r="F34">
        <f t="shared" si="8"/>
        <v>458.46</v>
      </c>
      <c r="G34" s="47">
        <f t="shared" si="9"/>
        <v>412.62</v>
      </c>
      <c r="H34" s="47">
        <v>0</v>
      </c>
      <c r="I34">
        <v>1.33</v>
      </c>
      <c r="J34">
        <v>1.23</v>
      </c>
      <c r="K34" s="85">
        <v>-59</v>
      </c>
      <c r="L34" s="47">
        <f t="shared" si="10"/>
        <v>668.00505800000008</v>
      </c>
      <c r="M34" s="23">
        <v>52</v>
      </c>
      <c r="N34" s="85">
        <f t="shared" si="11"/>
        <v>90.885992163934432</v>
      </c>
      <c r="O34" s="62">
        <f t="shared" si="12"/>
        <v>8.0430150814816359E-2</v>
      </c>
      <c r="P34" s="85">
        <f t="shared" si="6"/>
        <v>540.99904300000003</v>
      </c>
      <c r="Q34" s="85">
        <f t="shared" si="13"/>
        <v>690.99471400000004</v>
      </c>
    </row>
    <row r="35" spans="2:17" x14ac:dyDescent="0.25">
      <c r="B35" s="119"/>
      <c r="C35" s="28">
        <v>750</v>
      </c>
      <c r="D35">
        <v>900</v>
      </c>
      <c r="E35">
        <f t="shared" si="5"/>
        <v>458.46</v>
      </c>
      <c r="F35">
        <f t="shared" si="8"/>
        <v>550.16</v>
      </c>
      <c r="G35" s="47">
        <f t="shared" si="9"/>
        <v>504.31</v>
      </c>
      <c r="H35" s="47">
        <v>0</v>
      </c>
      <c r="I35">
        <v>1.33</v>
      </c>
      <c r="J35">
        <v>1.23</v>
      </c>
      <c r="K35" s="85">
        <v>-62</v>
      </c>
      <c r="L35" s="47">
        <f t="shared" si="10"/>
        <v>817.00072899999998</v>
      </c>
      <c r="M35" s="23">
        <v>54</v>
      </c>
      <c r="N35" s="85">
        <f t="shared" si="11"/>
        <v>112.57387804918032</v>
      </c>
      <c r="O35" s="62">
        <f t="shared" si="12"/>
        <v>7.8827833922287746E-2</v>
      </c>
      <c r="P35" s="85">
        <f t="shared" si="6"/>
        <v>687.99471400000004</v>
      </c>
      <c r="Q35" s="85">
        <f t="shared" si="13"/>
        <v>838.00674400000003</v>
      </c>
    </row>
    <row r="36" spans="2:17" x14ac:dyDescent="0.25">
      <c r="B36" s="119"/>
      <c r="C36" s="28">
        <v>900</v>
      </c>
      <c r="D36">
        <v>1100</v>
      </c>
      <c r="E36">
        <f t="shared" si="5"/>
        <v>550.16</v>
      </c>
      <c r="F36">
        <f t="shared" si="8"/>
        <v>672.41</v>
      </c>
      <c r="G36" s="47">
        <f t="shared" si="9"/>
        <v>611.29</v>
      </c>
      <c r="H36" s="47">
        <v>0</v>
      </c>
      <c r="I36">
        <v>1.33</v>
      </c>
      <c r="J36">
        <v>1.23</v>
      </c>
      <c r="K36" s="85">
        <v>-65</v>
      </c>
      <c r="L36" s="47">
        <f t="shared" si="10"/>
        <v>991.00931100000003</v>
      </c>
      <c r="M36" s="23">
        <v>56</v>
      </c>
      <c r="N36" s="85">
        <f t="shared" si="11"/>
        <v>137.95219342622951</v>
      </c>
      <c r="O36" s="62">
        <f t="shared" si="12"/>
        <v>7.7631798375706731E-2</v>
      </c>
      <c r="P36" s="85">
        <f t="shared" si="6"/>
        <v>835.00674400000003</v>
      </c>
      <c r="Q36" s="85">
        <f t="shared" si="13"/>
        <v>1034.9955190000001</v>
      </c>
    </row>
    <row r="37" spans="2:17" ht="15.75" thickBot="1" x14ac:dyDescent="0.3">
      <c r="B37" s="120"/>
      <c r="C37" s="29">
        <v>1100</v>
      </c>
      <c r="D37" s="30"/>
      <c r="E37" s="30">
        <f t="shared" si="5"/>
        <v>672.41</v>
      </c>
      <c r="F37" s="30"/>
      <c r="G37" s="63">
        <v>900</v>
      </c>
      <c r="H37" s="63">
        <v>0</v>
      </c>
      <c r="I37" s="30">
        <v>1.33</v>
      </c>
      <c r="J37" s="30">
        <v>1.23</v>
      </c>
      <c r="K37" s="86">
        <v>-70</v>
      </c>
      <c r="L37" s="63">
        <f t="shared" si="10"/>
        <v>1462.31</v>
      </c>
      <c r="M37" s="64">
        <v>60</v>
      </c>
      <c r="N37" s="86">
        <f t="shared" si="11"/>
        <v>206.89819672131148</v>
      </c>
      <c r="O37" s="66">
        <f t="shared" si="12"/>
        <v>7.6518795604215248E-2</v>
      </c>
      <c r="P37" s="85">
        <f t="shared" si="6"/>
        <v>1029.9955190000001</v>
      </c>
      <c r="Q37" s="85"/>
    </row>
    <row r="40" spans="2:17" ht="15.75" thickBot="1" x14ac:dyDescent="0.3"/>
    <row r="41" spans="2:17" ht="18.75" x14ac:dyDescent="0.3">
      <c r="B41" s="103" t="s">
        <v>128</v>
      </c>
      <c r="C41" s="106" t="s">
        <v>16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</row>
    <row r="42" spans="2:17" x14ac:dyDescent="0.25">
      <c r="B42" s="104"/>
      <c r="C42" s="1" t="s">
        <v>1</v>
      </c>
      <c r="D42" s="32" t="s">
        <v>2</v>
      </c>
      <c r="E42" s="2" t="s">
        <v>3</v>
      </c>
      <c r="F42" s="2" t="s">
        <v>4</v>
      </c>
      <c r="G42" s="2" t="s">
        <v>5</v>
      </c>
      <c r="H42" s="2" t="s">
        <v>6</v>
      </c>
      <c r="I42" s="2" t="s">
        <v>7</v>
      </c>
      <c r="J42" s="2" t="s">
        <v>8</v>
      </c>
      <c r="K42" s="2" t="s">
        <v>9</v>
      </c>
      <c r="L42" s="2" t="s">
        <v>10</v>
      </c>
      <c r="M42" s="2" t="s">
        <v>11</v>
      </c>
      <c r="N42" s="2" t="s">
        <v>12</v>
      </c>
      <c r="O42" s="2" t="s">
        <v>13</v>
      </c>
      <c r="P42" s="2" t="s">
        <v>14</v>
      </c>
      <c r="Q42" s="3" t="s">
        <v>15</v>
      </c>
    </row>
    <row r="43" spans="2:17" ht="15.75" x14ac:dyDescent="0.25">
      <c r="B43" s="104"/>
      <c r="C43" s="34">
        <v>50</v>
      </c>
      <c r="D43" s="32">
        <v>55</v>
      </c>
      <c r="E43" s="2">
        <v>1.39</v>
      </c>
      <c r="F43" s="2">
        <v>0.22</v>
      </c>
      <c r="G43" s="2">
        <v>1.23</v>
      </c>
      <c r="H43" s="2">
        <v>55</v>
      </c>
      <c r="I43" s="2">
        <v>1</v>
      </c>
      <c r="J43" s="2">
        <v>0</v>
      </c>
      <c r="K43" s="6">
        <v>0.18</v>
      </c>
      <c r="L43" s="2">
        <v>49</v>
      </c>
      <c r="M43" s="7">
        <f>(C43+H43)*E43*F43*G43*I43+J43</f>
        <v>39.494069999999994</v>
      </c>
      <c r="N43" s="7">
        <f>((M43/1.21))*0.18</f>
        <v>5.8751509090909089</v>
      </c>
      <c r="O43" s="9">
        <v>0</v>
      </c>
      <c r="P43" s="7">
        <f>(((1-O43)*C43))*F43+(D43*F43)+N43</f>
        <v>28.97515090909091</v>
      </c>
      <c r="Q43" s="36">
        <f>(M43/1.21-P43)/(M43/1.21)</f>
        <v>0.11227349827455099</v>
      </c>
    </row>
    <row r="44" spans="2:17" ht="15.75" x14ac:dyDescent="0.25">
      <c r="B44" s="104"/>
      <c r="C44" s="34">
        <v>90</v>
      </c>
      <c r="D44" s="32">
        <v>55</v>
      </c>
      <c r="E44" s="2">
        <v>1.38</v>
      </c>
      <c r="F44" s="2">
        <v>0.22</v>
      </c>
      <c r="G44" s="2">
        <v>1.23</v>
      </c>
      <c r="H44" s="2">
        <v>55</v>
      </c>
      <c r="I44" s="2">
        <v>1</v>
      </c>
      <c r="J44" s="2">
        <v>0</v>
      </c>
      <c r="K44" s="6">
        <v>0.18</v>
      </c>
      <c r="L44" s="2">
        <v>49</v>
      </c>
      <c r="M44" s="7">
        <f t="shared" ref="M44:M47" si="14">(C44+H44)*E44*F44*G44*I44+J44</f>
        <v>54.147059999999996</v>
      </c>
      <c r="N44" s="7">
        <f t="shared" ref="N44:N47" si="15">((M44/1.21))*0.18</f>
        <v>8.0549345454545449</v>
      </c>
      <c r="O44" s="9">
        <v>0</v>
      </c>
      <c r="P44" s="7">
        <f t="shared" ref="P44:P47" si="16">(((1-O44)*C44))*F44+(D44*F44)+N44</f>
        <v>39.954934545454542</v>
      </c>
      <c r="Q44" s="36">
        <f t="shared" ref="Q44:Q47" si="17">(M44/1.21-P44)/(M44/1.21)</f>
        <v>0.10714504536349717</v>
      </c>
    </row>
    <row r="45" spans="2:17" ht="15.75" x14ac:dyDescent="0.25">
      <c r="B45" s="104"/>
      <c r="C45" s="34">
        <v>150</v>
      </c>
      <c r="D45" s="32">
        <v>55</v>
      </c>
      <c r="E45" s="2">
        <v>1.38</v>
      </c>
      <c r="F45" s="2">
        <v>0.22</v>
      </c>
      <c r="G45" s="2">
        <v>1.23</v>
      </c>
      <c r="H45" s="2">
        <v>55</v>
      </c>
      <c r="I45" s="2">
        <v>1</v>
      </c>
      <c r="J45" s="2">
        <v>0</v>
      </c>
      <c r="K45" s="6">
        <v>0.18</v>
      </c>
      <c r="L45" s="2">
        <v>49</v>
      </c>
      <c r="M45" s="7">
        <f t="shared" si="14"/>
        <v>76.552739999999986</v>
      </c>
      <c r="N45" s="7">
        <f t="shared" si="15"/>
        <v>11.388010909090907</v>
      </c>
      <c r="O45" s="9">
        <v>0</v>
      </c>
      <c r="P45" s="7">
        <f t="shared" si="16"/>
        <v>56.48801090909091</v>
      </c>
      <c r="Q45" s="36">
        <f t="shared" si="17"/>
        <v>0.107145045363497</v>
      </c>
    </row>
    <row r="46" spans="2:17" ht="15.75" x14ac:dyDescent="0.25">
      <c r="B46" s="104"/>
      <c r="C46" s="34">
        <v>250</v>
      </c>
      <c r="D46" s="32">
        <v>55</v>
      </c>
      <c r="E46" s="2">
        <v>1.37</v>
      </c>
      <c r="F46" s="2">
        <v>0.22</v>
      </c>
      <c r="G46" s="2">
        <v>1.23</v>
      </c>
      <c r="H46" s="2">
        <v>55</v>
      </c>
      <c r="I46" s="2">
        <v>1</v>
      </c>
      <c r="J46" s="2">
        <v>0</v>
      </c>
      <c r="K46" s="6">
        <v>0.18</v>
      </c>
      <c r="L46" s="2">
        <v>49</v>
      </c>
      <c r="M46" s="7">
        <f t="shared" si="14"/>
        <v>113.07021</v>
      </c>
      <c r="N46" s="7">
        <f t="shared" si="15"/>
        <v>16.820361818181819</v>
      </c>
      <c r="O46" s="9">
        <v>0</v>
      </c>
      <c r="P46" s="7">
        <f t="shared" si="16"/>
        <v>83.920361818181817</v>
      </c>
      <c r="Q46" s="36">
        <f>(M46/1.21-P46)/(M46/1.21)</f>
        <v>0.10194172452673445</v>
      </c>
    </row>
    <row r="47" spans="2:17" ht="15.75" x14ac:dyDescent="0.25">
      <c r="B47" s="104"/>
      <c r="C47" s="34">
        <v>450</v>
      </c>
      <c r="D47" s="32">
        <v>55</v>
      </c>
      <c r="E47" s="2">
        <v>1.36</v>
      </c>
      <c r="F47" s="2">
        <v>0.22</v>
      </c>
      <c r="G47" s="2">
        <v>1.23</v>
      </c>
      <c r="H47" s="2">
        <v>55</v>
      </c>
      <c r="I47" s="2">
        <v>1</v>
      </c>
      <c r="J47" s="2">
        <v>0</v>
      </c>
      <c r="K47" s="6">
        <v>0.18</v>
      </c>
      <c r="L47" s="2">
        <v>49</v>
      </c>
      <c r="M47" s="7">
        <f t="shared" si="14"/>
        <v>185.84808000000001</v>
      </c>
      <c r="N47" s="7">
        <f t="shared" si="15"/>
        <v>27.64682181818182</v>
      </c>
      <c r="O47" s="9">
        <v>0</v>
      </c>
      <c r="P47" s="7">
        <f t="shared" si="16"/>
        <v>138.74682181818181</v>
      </c>
      <c r="Q47" s="36">
        <f t="shared" ref="Q47:Q50" si="18">(M47/1.21-P47)/(M47/1.21)</f>
        <v>9.666188426590161E-2</v>
      </c>
    </row>
    <row r="48" spans="2:17" x14ac:dyDescent="0.25">
      <c r="B48" s="104"/>
      <c r="D48" s="33"/>
      <c r="Q48" s="18"/>
    </row>
    <row r="49" spans="2:17" ht="18.75" x14ac:dyDescent="0.3">
      <c r="B49" s="104"/>
      <c r="C49" s="107" t="s">
        <v>17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9"/>
    </row>
    <row r="50" spans="2:17" x14ac:dyDescent="0.25">
      <c r="B50" s="104"/>
      <c r="C50" s="1" t="s">
        <v>1</v>
      </c>
      <c r="D50" s="32" t="s">
        <v>2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9</v>
      </c>
      <c r="L50" s="2" t="s">
        <v>10</v>
      </c>
      <c r="M50" s="2" t="s">
        <v>11</v>
      </c>
      <c r="N50" s="2" t="s">
        <v>12</v>
      </c>
      <c r="O50" s="2" t="s">
        <v>13</v>
      </c>
      <c r="P50" s="2" t="s">
        <v>14</v>
      </c>
      <c r="Q50" s="3" t="s">
        <v>15</v>
      </c>
    </row>
    <row r="51" spans="2:17" ht="15.75" x14ac:dyDescent="0.25">
      <c r="B51" s="104"/>
      <c r="C51" s="34">
        <v>50</v>
      </c>
      <c r="D51" s="32">
        <v>55</v>
      </c>
      <c r="E51" s="2">
        <v>1.39</v>
      </c>
      <c r="F51" s="2">
        <v>0.22</v>
      </c>
      <c r="G51" s="2">
        <v>1.23</v>
      </c>
      <c r="H51" s="2">
        <v>55</v>
      </c>
      <c r="I51" s="2">
        <v>1</v>
      </c>
      <c r="J51" s="2">
        <v>0</v>
      </c>
      <c r="K51" s="6">
        <v>0.18</v>
      </c>
      <c r="L51" s="2">
        <v>49</v>
      </c>
      <c r="M51" s="7">
        <f>(C51+H51)*E51*F51*G51*I51+J51</f>
        <v>39.494069999999994</v>
      </c>
      <c r="N51" s="8">
        <f>(M51/1.21)*0.18</f>
        <v>5.8751509090909089</v>
      </c>
      <c r="O51" s="9">
        <v>0</v>
      </c>
      <c r="P51" s="7">
        <f t="shared" ref="P51:P55" si="19">(((1-O51)*C51))*F51+(D51*F51)+N51</f>
        <v>28.97515090909091</v>
      </c>
      <c r="Q51" s="36">
        <f>(M51/1.21-P51)/(M51/1.21)</f>
        <v>0.11227349827455099</v>
      </c>
    </row>
    <row r="52" spans="2:17" ht="15.75" x14ac:dyDescent="0.25">
      <c r="B52" s="104"/>
      <c r="C52" s="34">
        <v>90</v>
      </c>
      <c r="D52" s="32">
        <v>55</v>
      </c>
      <c r="E52" s="2">
        <v>1.38</v>
      </c>
      <c r="F52" s="2">
        <v>0.22</v>
      </c>
      <c r="G52" s="2">
        <v>1.23</v>
      </c>
      <c r="H52" s="2">
        <v>55</v>
      </c>
      <c r="I52" s="2">
        <v>1</v>
      </c>
      <c r="J52" s="2">
        <v>0</v>
      </c>
      <c r="K52" s="6">
        <v>0.18</v>
      </c>
      <c r="L52" s="2">
        <v>49</v>
      </c>
      <c r="M52" s="7">
        <f t="shared" ref="M52:M55" si="20">(C52+H52)*E52*F52*G52*I52+J52</f>
        <v>54.147059999999996</v>
      </c>
      <c r="N52" s="8">
        <f t="shared" ref="N52:N55" si="21">(M52/1.21)*0.18</f>
        <v>8.0549345454545449</v>
      </c>
      <c r="O52" s="9">
        <v>0</v>
      </c>
      <c r="P52" s="7">
        <f t="shared" si="19"/>
        <v>39.954934545454542</v>
      </c>
      <c r="Q52" s="36">
        <f>(M52/1.21-P52)/(M52/1.21)</f>
        <v>0.10714504536349717</v>
      </c>
    </row>
    <row r="53" spans="2:17" ht="15.75" x14ac:dyDescent="0.25">
      <c r="B53" s="104"/>
      <c r="C53" s="34">
        <v>150</v>
      </c>
      <c r="D53" s="32">
        <v>55</v>
      </c>
      <c r="E53" s="2">
        <v>1.38</v>
      </c>
      <c r="F53" s="2">
        <v>0.22</v>
      </c>
      <c r="G53" s="2">
        <v>1.23</v>
      </c>
      <c r="H53" s="2">
        <v>55</v>
      </c>
      <c r="I53" s="2">
        <v>1</v>
      </c>
      <c r="J53" s="2">
        <v>0</v>
      </c>
      <c r="K53" s="6">
        <v>0.18</v>
      </c>
      <c r="L53" s="2">
        <v>49</v>
      </c>
      <c r="M53" s="7">
        <f t="shared" si="20"/>
        <v>76.552739999999986</v>
      </c>
      <c r="N53" s="8">
        <f t="shared" si="21"/>
        <v>11.388010909090907</v>
      </c>
      <c r="O53" s="9">
        <v>0</v>
      </c>
      <c r="P53" s="7">
        <f t="shared" si="19"/>
        <v>56.48801090909091</v>
      </c>
      <c r="Q53" s="36">
        <f>(M53/1.21-P53)/(M53/1.21)</f>
        <v>0.107145045363497</v>
      </c>
    </row>
    <row r="54" spans="2:17" ht="15.75" x14ac:dyDescent="0.25">
      <c r="B54" s="104"/>
      <c r="C54" s="34">
        <v>250</v>
      </c>
      <c r="D54" s="32">
        <v>55</v>
      </c>
      <c r="E54" s="2">
        <v>1.37</v>
      </c>
      <c r="F54" s="2">
        <v>0.22</v>
      </c>
      <c r="G54" s="2">
        <v>1.23</v>
      </c>
      <c r="H54" s="2">
        <v>55</v>
      </c>
      <c r="I54" s="2">
        <v>1</v>
      </c>
      <c r="J54" s="2">
        <v>0</v>
      </c>
      <c r="K54" s="6">
        <v>0.18</v>
      </c>
      <c r="L54" s="2">
        <v>49</v>
      </c>
      <c r="M54" s="7">
        <f t="shared" si="20"/>
        <v>113.07021</v>
      </c>
      <c r="N54" s="8">
        <f t="shared" si="21"/>
        <v>16.820361818181819</v>
      </c>
      <c r="O54" s="9">
        <v>0</v>
      </c>
      <c r="P54" s="7">
        <f t="shared" si="19"/>
        <v>83.920361818181817</v>
      </c>
      <c r="Q54" s="36">
        <f>(M54/1.21-P54)/(M54/1.21)</f>
        <v>0.10194172452673445</v>
      </c>
    </row>
    <row r="55" spans="2:17" ht="16.5" thickBot="1" x14ac:dyDescent="0.3">
      <c r="B55" s="105"/>
      <c r="C55" s="34">
        <v>450</v>
      </c>
      <c r="D55" s="32">
        <v>55</v>
      </c>
      <c r="E55" s="2">
        <v>1.36</v>
      </c>
      <c r="F55" s="2">
        <v>0.22</v>
      </c>
      <c r="G55" s="2">
        <v>1.23</v>
      </c>
      <c r="H55" s="2">
        <v>55</v>
      </c>
      <c r="I55" s="2">
        <v>1</v>
      </c>
      <c r="J55" s="2">
        <v>0</v>
      </c>
      <c r="K55" s="6">
        <v>0.18</v>
      </c>
      <c r="L55" s="2">
        <v>49</v>
      </c>
      <c r="M55" s="7">
        <f t="shared" si="20"/>
        <v>185.84808000000001</v>
      </c>
      <c r="N55" s="8">
        <f t="shared" si="21"/>
        <v>27.64682181818182</v>
      </c>
      <c r="O55" s="9">
        <v>0</v>
      </c>
      <c r="P55" s="7">
        <f t="shared" si="19"/>
        <v>138.74682181818181</v>
      </c>
      <c r="Q55" s="36">
        <f>(M55/1.21-P55)/(M55/1.21)</f>
        <v>9.666188426590161E-2</v>
      </c>
    </row>
  </sheetData>
  <mergeCells count="10">
    <mergeCell ref="B41:B55"/>
    <mergeCell ref="C41:Q41"/>
    <mergeCell ref="C49:Q49"/>
    <mergeCell ref="B1:B37"/>
    <mergeCell ref="C1:O1"/>
    <mergeCell ref="C2:D2"/>
    <mergeCell ref="E2:F2"/>
    <mergeCell ref="C20:O20"/>
    <mergeCell ref="C21:D21"/>
    <mergeCell ref="E21:F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54D7-40B5-4A3C-A720-1738C1B4DDC8}">
  <dimension ref="B1:R308"/>
  <sheetViews>
    <sheetView zoomScale="70" zoomScaleNormal="70" workbookViewId="0">
      <selection activeCell="E304" sqref="E304:E308"/>
    </sheetView>
  </sheetViews>
  <sheetFormatPr defaultColWidth="8.85546875" defaultRowHeight="15" x14ac:dyDescent="0.25"/>
  <cols>
    <col min="2" max="2" width="7.140625" bestFit="1" customWidth="1"/>
    <col min="3" max="3" width="24.140625" bestFit="1" customWidth="1"/>
    <col min="4" max="4" width="22" bestFit="1" customWidth="1"/>
    <col min="5" max="5" width="20.140625" bestFit="1" customWidth="1"/>
    <col min="6" max="6" width="13.5703125" bestFit="1" customWidth="1"/>
    <col min="7" max="7" width="27.140625" bestFit="1" customWidth="1"/>
    <col min="8" max="9" width="19.85546875" bestFit="1" customWidth="1"/>
    <col min="10" max="10" width="18.140625" bestFit="1" customWidth="1"/>
    <col min="11" max="11" width="16.28515625" bestFit="1" customWidth="1"/>
    <col min="12" max="12" width="15.85546875" bestFit="1" customWidth="1"/>
    <col min="13" max="13" width="32.140625" bestFit="1" customWidth="1"/>
    <col min="14" max="14" width="28.42578125" bestFit="1" customWidth="1"/>
    <col min="15" max="15" width="22" bestFit="1" customWidth="1"/>
    <col min="16" max="16" width="26.7109375" bestFit="1" customWidth="1"/>
    <col min="17" max="17" width="8.7109375" bestFit="1" customWidth="1"/>
  </cols>
  <sheetData>
    <row r="1" spans="2:17" ht="15.75" thickBot="1" x14ac:dyDescent="0.3"/>
    <row r="2" spans="2:17" ht="18.75" x14ac:dyDescent="0.3">
      <c r="B2" s="122" t="s">
        <v>0</v>
      </c>
      <c r="C2" s="131" t="s">
        <v>16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</row>
    <row r="3" spans="2:17" x14ac:dyDescent="0.25">
      <c r="B3" s="123"/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3" t="s">
        <v>15</v>
      </c>
    </row>
    <row r="4" spans="2:17" ht="15.75" x14ac:dyDescent="0.25">
      <c r="B4" s="123"/>
      <c r="C4" s="34">
        <v>15.38</v>
      </c>
      <c r="D4" s="2">
        <v>15</v>
      </c>
      <c r="E4" s="2">
        <v>1.1299999999999999</v>
      </c>
      <c r="F4" s="2">
        <v>0.22</v>
      </c>
      <c r="G4" s="2">
        <v>1.23</v>
      </c>
      <c r="H4" s="2">
        <v>52</v>
      </c>
      <c r="I4" s="2">
        <v>1</v>
      </c>
      <c r="J4" s="2">
        <v>0</v>
      </c>
      <c r="K4" s="6">
        <v>0.18</v>
      </c>
      <c r="L4" s="2">
        <v>9</v>
      </c>
      <c r="M4" s="7">
        <f>(C4+H4)*E4*F4*G4*I4+J4+L4</f>
        <v>29.603321639999997</v>
      </c>
      <c r="N4" s="8">
        <f>((M4/1.22)-L4)*0.18</f>
        <v>2.7477031927868847</v>
      </c>
      <c r="O4" s="9">
        <v>0</v>
      </c>
      <c r="P4" s="8">
        <f>(1-O4)*C4*F4+D4+N4</f>
        <v>21.131303192786888</v>
      </c>
      <c r="Q4" s="36">
        <f>(M4/1.22-P4)/(M4/1.22)</f>
        <v>0.12914536386464756</v>
      </c>
    </row>
    <row r="5" spans="2:17" ht="15.75" x14ac:dyDescent="0.25">
      <c r="B5" s="123"/>
      <c r="C5" s="34">
        <v>40.85</v>
      </c>
      <c r="D5" s="2">
        <v>15</v>
      </c>
      <c r="E5" s="2">
        <v>1.35</v>
      </c>
      <c r="F5" s="2">
        <v>0.22</v>
      </c>
      <c r="G5" s="2">
        <v>1.23</v>
      </c>
      <c r="H5" s="2">
        <v>42</v>
      </c>
      <c r="I5" s="2">
        <v>1</v>
      </c>
      <c r="J5" s="2">
        <v>0</v>
      </c>
      <c r="K5" s="6">
        <v>0.18</v>
      </c>
      <c r="L5" s="2">
        <v>9</v>
      </c>
      <c r="M5" s="7">
        <f>(C5+H5)*E5*F5*G5*I5+J5+L5</f>
        <v>39.265933500000003</v>
      </c>
      <c r="N5" s="8">
        <f>((M5/1.22)-L5)*0.18</f>
        <v>4.1733344508196728</v>
      </c>
      <c r="O5" s="9">
        <v>0</v>
      </c>
      <c r="P5" s="8">
        <f>(1-O5)*C5*F5+D5+N5</f>
        <v>28.160334450819676</v>
      </c>
      <c r="Q5" s="36">
        <f>(M5/1.22-P5)/(M5/1.22)</f>
        <v>0.12505306845691069</v>
      </c>
    </row>
    <row r="6" spans="2:17" ht="15.75" x14ac:dyDescent="0.25">
      <c r="B6" s="123"/>
      <c r="C6" s="34">
        <v>62.19</v>
      </c>
      <c r="D6" s="2">
        <v>15</v>
      </c>
      <c r="E6" s="2">
        <v>1.35</v>
      </c>
      <c r="F6" s="2">
        <v>0.22</v>
      </c>
      <c r="G6" s="2">
        <v>1.23</v>
      </c>
      <c r="H6" s="2">
        <v>42</v>
      </c>
      <c r="I6" s="2">
        <v>1</v>
      </c>
      <c r="J6" s="2">
        <v>0</v>
      </c>
      <c r="K6" s="6">
        <v>0.18</v>
      </c>
      <c r="L6" s="2">
        <v>9</v>
      </c>
      <c r="M6" s="7">
        <f>(C6+H6)*E6*F6*G6*I6+J6+L6</f>
        <v>47.061648900000002</v>
      </c>
      <c r="N6" s="8">
        <f>((M6/1.22)-L6)*0.18</f>
        <v>5.3235219688524591</v>
      </c>
      <c r="O6" s="9">
        <v>0</v>
      </c>
      <c r="P6" s="8">
        <f>(1-O6)*C6*F6+D6+N6</f>
        <v>34.005321968852456</v>
      </c>
      <c r="Q6" s="36">
        <f>(M6/1.22-P6)/(M6/1.22)</f>
        <v>0.11846495455028574</v>
      </c>
    </row>
    <row r="7" spans="2:17" ht="15.75" x14ac:dyDescent="0.25">
      <c r="B7" s="123"/>
      <c r="C7" s="34">
        <v>116.22</v>
      </c>
      <c r="D7" s="2">
        <v>15</v>
      </c>
      <c r="E7" s="2">
        <v>1.36</v>
      </c>
      <c r="F7" s="2">
        <v>0.22</v>
      </c>
      <c r="G7" s="2">
        <v>1.23</v>
      </c>
      <c r="H7" s="2">
        <v>42</v>
      </c>
      <c r="I7" s="2">
        <v>1</v>
      </c>
      <c r="J7" s="2">
        <v>0</v>
      </c>
      <c r="K7" s="6">
        <v>0.18</v>
      </c>
      <c r="L7" s="2">
        <v>9</v>
      </c>
      <c r="M7" s="7">
        <f>(C7+H7)*E7*F7*G7*I7+J7+L7</f>
        <v>67.227491520000001</v>
      </c>
      <c r="N7" s="8">
        <f>((M7/1.22)-L7)*0.18</f>
        <v>8.2988102242622954</v>
      </c>
      <c r="O7" s="9">
        <v>0</v>
      </c>
      <c r="P7" s="8">
        <f>(1-O7)*C7*F7+D7+N7</f>
        <v>48.867210224262294</v>
      </c>
      <c r="Q7" s="36">
        <f>(M7/1.22-P7)/(M7/1.22)</f>
        <v>0.11319022730658042</v>
      </c>
    </row>
    <row r="8" spans="2:17" ht="15.75" x14ac:dyDescent="0.25">
      <c r="B8" s="123"/>
      <c r="C8" s="34">
        <v>287.2</v>
      </c>
      <c r="D8" s="2">
        <v>15</v>
      </c>
      <c r="E8" s="2">
        <v>1.37</v>
      </c>
      <c r="F8" s="2">
        <v>0.22</v>
      </c>
      <c r="G8" s="2">
        <v>1.23</v>
      </c>
      <c r="H8" s="2">
        <v>42</v>
      </c>
      <c r="I8" s="2">
        <v>1</v>
      </c>
      <c r="J8" s="2">
        <v>0</v>
      </c>
      <c r="K8" s="6">
        <v>0.18</v>
      </c>
      <c r="L8" s="2">
        <v>9</v>
      </c>
      <c r="M8" s="7">
        <f>(C8+H8)*E8*F8*G8*I8+J8+L8</f>
        <v>131.04168240000001</v>
      </c>
      <c r="N8" s="8">
        <f>((M8/1.22)-L8)*0.18</f>
        <v>17.714018714754101</v>
      </c>
      <c r="O8" s="9">
        <v>0</v>
      </c>
      <c r="P8" s="8">
        <f>(1-O8)*C8*F8+D8+N8</f>
        <v>95.898018714754102</v>
      </c>
      <c r="Q8" s="36">
        <f>(M8/1.22-P8)/(M8/1.22)</f>
        <v>0.10718802834906226</v>
      </c>
    </row>
    <row r="9" spans="2:17" x14ac:dyDescent="0.25">
      <c r="B9" s="123"/>
      <c r="Q9" s="18"/>
    </row>
    <row r="10" spans="2:17" x14ac:dyDescent="0.25">
      <c r="B10" s="123"/>
      <c r="Q10" s="18"/>
    </row>
    <row r="11" spans="2:17" ht="18.75" x14ac:dyDescent="0.3">
      <c r="B11" s="123"/>
      <c r="C11" s="134" t="s">
        <v>17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</row>
    <row r="12" spans="2:17" x14ac:dyDescent="0.25">
      <c r="B12" s="123"/>
      <c r="C12" s="1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  <c r="N12" s="2" t="s">
        <v>12</v>
      </c>
      <c r="O12" s="2" t="s">
        <v>13</v>
      </c>
      <c r="P12" s="2" t="s">
        <v>14</v>
      </c>
      <c r="Q12" s="3" t="s">
        <v>15</v>
      </c>
    </row>
    <row r="13" spans="2:17" ht="15.75" x14ac:dyDescent="0.25">
      <c r="B13" s="123"/>
      <c r="C13" s="34">
        <v>15.38</v>
      </c>
      <c r="D13" s="2">
        <v>15</v>
      </c>
      <c r="E13" s="2">
        <v>2.0099999999999998</v>
      </c>
      <c r="F13" s="2">
        <v>0.22</v>
      </c>
      <c r="G13" s="2">
        <v>1.23</v>
      </c>
      <c r="H13" s="2">
        <v>30</v>
      </c>
      <c r="I13" s="2">
        <v>1</v>
      </c>
      <c r="J13" s="2">
        <v>0</v>
      </c>
      <c r="K13" s="6">
        <v>0.18</v>
      </c>
      <c r="L13" s="2">
        <v>6</v>
      </c>
      <c r="M13" s="7">
        <f>(C13+H13)*E13*F13*G13*I13+J13+L13</f>
        <v>30.682454279999998</v>
      </c>
      <c r="N13" s="8">
        <f>((M13/1.22)-L13)*0.18</f>
        <v>3.4469194839344262</v>
      </c>
      <c r="O13" s="9">
        <v>0</v>
      </c>
      <c r="P13" s="8">
        <f>(1-O13)*C13*F13+D13+N13</f>
        <v>21.830519483934427</v>
      </c>
      <c r="Q13" s="36">
        <f>(M13/1.22-P13)/(M13/1.22)</f>
        <v>0.1319718583346651</v>
      </c>
    </row>
    <row r="14" spans="2:17" ht="15.75" x14ac:dyDescent="0.25">
      <c r="B14" s="123"/>
      <c r="C14" s="34">
        <v>40.85</v>
      </c>
      <c r="D14" s="2">
        <v>15</v>
      </c>
      <c r="E14" s="2">
        <v>2.09</v>
      </c>
      <c r="F14" s="2">
        <v>0.22</v>
      </c>
      <c r="G14" s="2">
        <v>1.23</v>
      </c>
      <c r="H14" s="2">
        <v>20</v>
      </c>
      <c r="I14" s="2">
        <v>1</v>
      </c>
      <c r="J14" s="2">
        <v>0</v>
      </c>
      <c r="K14" s="6">
        <v>0.18</v>
      </c>
      <c r="L14" s="2">
        <v>6</v>
      </c>
      <c r="M14" s="7">
        <f>(C14+H14)*E14*F14*G14*I14+J14+L14</f>
        <v>40.413960899999999</v>
      </c>
      <c r="N14" s="8">
        <f>((M14/1.22)-L14)*0.18</f>
        <v>4.8827155426229512</v>
      </c>
      <c r="O14" s="9">
        <v>0</v>
      </c>
      <c r="P14" s="8">
        <f>(1-O14)*C14*F14+D14+N14</f>
        <v>28.869715542622952</v>
      </c>
      <c r="Q14" s="36">
        <f>(M14/1.22-P14)/(M14/1.22)</f>
        <v>0.12849292230596485</v>
      </c>
    </row>
    <row r="15" spans="2:17" ht="15.75" x14ac:dyDescent="0.25">
      <c r="B15" s="123"/>
      <c r="C15" s="34">
        <v>62.19</v>
      </c>
      <c r="D15" s="2">
        <v>15</v>
      </c>
      <c r="E15" s="2">
        <v>1.89</v>
      </c>
      <c r="F15" s="2">
        <v>0.22</v>
      </c>
      <c r="G15" s="2">
        <v>1.23</v>
      </c>
      <c r="H15" s="2">
        <v>20</v>
      </c>
      <c r="I15" s="2">
        <v>1</v>
      </c>
      <c r="J15" s="2">
        <v>0</v>
      </c>
      <c r="K15" s="6">
        <v>0.18</v>
      </c>
      <c r="L15" s="2">
        <v>6</v>
      </c>
      <c r="M15" s="7">
        <f>(C15+H15)*E15*F15*G15*I15+J15+L15</f>
        <v>48.034760459999994</v>
      </c>
      <c r="N15" s="8">
        <f>((M15/1.22)-L15)*0.18</f>
        <v>6.00709580557377</v>
      </c>
      <c r="O15" s="9">
        <v>0</v>
      </c>
      <c r="P15" s="8">
        <f>(1-O15)*C15*F15+D15+N15</f>
        <v>34.688895805573772</v>
      </c>
      <c r="Q15" s="36">
        <f>(M15/1.22-P15)/(M15/1.22)</f>
        <v>0.11896192512417074</v>
      </c>
    </row>
    <row r="16" spans="2:17" ht="15.75" x14ac:dyDescent="0.25">
      <c r="B16" s="123"/>
      <c r="C16" s="34">
        <v>116.22</v>
      </c>
      <c r="D16" s="2">
        <v>15</v>
      </c>
      <c r="E16" s="2">
        <v>1.55</v>
      </c>
      <c r="F16" s="2">
        <v>0.22</v>
      </c>
      <c r="G16" s="2">
        <v>1.23</v>
      </c>
      <c r="H16" s="2">
        <v>20</v>
      </c>
      <c r="I16" s="2">
        <v>1</v>
      </c>
      <c r="J16" s="2">
        <v>0</v>
      </c>
      <c r="K16" s="6">
        <v>0.18</v>
      </c>
      <c r="L16" s="2">
        <v>10</v>
      </c>
      <c r="M16" s="7">
        <f>(C16+H16)*E16*F16*G16*I16+J16+L16</f>
        <v>67.134754600000008</v>
      </c>
      <c r="N16" s="8">
        <f>((M16/1.22)-L16)*0.18</f>
        <v>8.1051277278688545</v>
      </c>
      <c r="O16" s="9">
        <v>0</v>
      </c>
      <c r="P16" s="8">
        <f>(1-O16)*C16*F16+D16+N16</f>
        <v>48.673527727868851</v>
      </c>
      <c r="Q16" s="36">
        <f>(M16/1.22-P16)/(M16/1.22)</f>
        <v>0.11548490522076042</v>
      </c>
    </row>
    <row r="17" spans="2:17" ht="16.5" thickBot="1" x14ac:dyDescent="0.3">
      <c r="B17" s="124"/>
      <c r="C17" s="34">
        <v>287.2</v>
      </c>
      <c r="D17" s="2">
        <v>15</v>
      </c>
      <c r="E17" s="2">
        <v>1.32</v>
      </c>
      <c r="F17" s="2">
        <v>0.22</v>
      </c>
      <c r="G17" s="2">
        <v>1.23</v>
      </c>
      <c r="H17" s="2">
        <v>20</v>
      </c>
      <c r="I17" s="2">
        <v>1</v>
      </c>
      <c r="J17" s="2">
        <v>0</v>
      </c>
      <c r="K17" s="6">
        <v>0.18</v>
      </c>
      <c r="L17" s="2">
        <v>19</v>
      </c>
      <c r="M17" s="7">
        <f>(C17+H17)*E17*F17*G17*I17+J17+L17</f>
        <v>128.72938240000002</v>
      </c>
      <c r="N17" s="8">
        <f>((M17/1.22)-L17)*0.18</f>
        <v>15.572859698360658</v>
      </c>
      <c r="O17" s="9">
        <v>0</v>
      </c>
      <c r="P17" s="8">
        <f>(1-O17)*C17*F17+D17+N17</f>
        <v>93.756859698360657</v>
      </c>
      <c r="Q17" s="36">
        <f>(M17/1.22-P17)/(M17/1.22)</f>
        <v>0.11144319424622681</v>
      </c>
    </row>
    <row r="19" spans="2:17" ht="15.75" thickBot="1" x14ac:dyDescent="0.3"/>
    <row r="20" spans="2:17" ht="18.75" x14ac:dyDescent="0.3">
      <c r="B20" s="122" t="s">
        <v>18</v>
      </c>
      <c r="C20" s="131" t="s">
        <v>16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3"/>
    </row>
    <row r="21" spans="2:17" x14ac:dyDescent="0.25">
      <c r="B21" s="123"/>
      <c r="C21" s="1" t="s">
        <v>19</v>
      </c>
      <c r="D21" s="2" t="s">
        <v>2</v>
      </c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  <c r="J21" s="2" t="s">
        <v>8</v>
      </c>
      <c r="K21" s="2" t="s">
        <v>9</v>
      </c>
      <c r="L21" s="2" t="s">
        <v>10</v>
      </c>
      <c r="M21" s="2" t="s">
        <v>11</v>
      </c>
      <c r="N21" s="2" t="s">
        <v>12</v>
      </c>
      <c r="O21" s="2" t="s">
        <v>13</v>
      </c>
      <c r="P21" s="2" t="s">
        <v>14</v>
      </c>
      <c r="Q21" s="3" t="s">
        <v>15</v>
      </c>
    </row>
    <row r="22" spans="2:17" ht="15.75" x14ac:dyDescent="0.25">
      <c r="B22" s="123"/>
      <c r="C22" s="34">
        <v>11.01</v>
      </c>
      <c r="D22" s="2">
        <v>15</v>
      </c>
      <c r="E22" s="2">
        <v>1.63</v>
      </c>
      <c r="F22" s="2">
        <v>0.22</v>
      </c>
      <c r="G22" s="2">
        <v>1</v>
      </c>
      <c r="H22" s="2">
        <v>42</v>
      </c>
      <c r="I22" s="2">
        <v>1</v>
      </c>
      <c r="J22" s="2">
        <v>0</v>
      </c>
      <c r="K22" s="6">
        <v>0.18</v>
      </c>
      <c r="L22" s="2">
        <v>9</v>
      </c>
      <c r="M22" s="7">
        <f>(C22+H22)*E22*F22*G22*I22+J22+L22</f>
        <v>28.009385999999996</v>
      </c>
      <c r="N22" s="8">
        <f>((M22/1.22)-L22)*0.18</f>
        <v>2.512532360655737</v>
      </c>
      <c r="O22" s="9">
        <v>0.04</v>
      </c>
      <c r="P22" s="8">
        <f>(((1-O22)*C22)/1.23)*F22+D22+N22</f>
        <v>19.403029921631347</v>
      </c>
      <c r="Q22" s="36">
        <f>(M22/1.22-P22)/(M22/1.22)</f>
        <v>0.15486556883502381</v>
      </c>
    </row>
    <row r="23" spans="2:17" ht="15.75" x14ac:dyDescent="0.25">
      <c r="B23" s="123"/>
      <c r="C23" s="34">
        <v>57.81</v>
      </c>
      <c r="D23" s="2">
        <v>15</v>
      </c>
      <c r="E23" s="2">
        <v>1.51</v>
      </c>
      <c r="F23" s="2">
        <v>0.22</v>
      </c>
      <c r="G23" s="2">
        <v>1</v>
      </c>
      <c r="H23" s="2">
        <v>42</v>
      </c>
      <c r="I23" s="2">
        <v>1</v>
      </c>
      <c r="J23" s="2">
        <v>0</v>
      </c>
      <c r="K23" s="6">
        <v>0.18</v>
      </c>
      <c r="L23" s="2">
        <v>9</v>
      </c>
      <c r="M23" s="7">
        <f>(C23+H23)*E23*F23*G23*I23+J23+L23</f>
        <v>42.156882000000003</v>
      </c>
      <c r="N23" s="8">
        <f>((M23/1.22)-L23)*0.18</f>
        <v>4.5998678360655747</v>
      </c>
      <c r="O23" s="9">
        <v>0.04</v>
      </c>
      <c r="P23" s="8">
        <f>(((1-O23)*C23)/1.23)*F23+D23+N23</f>
        <v>29.526267836065575</v>
      </c>
      <c r="Q23" s="36">
        <f>(M23/1.22-P23)/(M23/1.22)</f>
        <v>0.14552393224906918</v>
      </c>
    </row>
    <row r="24" spans="2:17" ht="15.75" x14ac:dyDescent="0.25">
      <c r="B24" s="123"/>
      <c r="C24" s="34">
        <v>116.42</v>
      </c>
      <c r="D24" s="2">
        <v>15</v>
      </c>
      <c r="E24" s="2">
        <v>1.47</v>
      </c>
      <c r="F24" s="2">
        <v>0.22</v>
      </c>
      <c r="G24" s="2">
        <v>1</v>
      </c>
      <c r="H24" s="2">
        <v>42</v>
      </c>
      <c r="I24" s="2">
        <v>1</v>
      </c>
      <c r="J24" s="2">
        <v>0</v>
      </c>
      <c r="K24" s="6">
        <v>0.18</v>
      </c>
      <c r="L24" s="2">
        <v>9</v>
      </c>
      <c r="M24" s="7">
        <f>(C24+H24)*E24*F24*G24*I24+J24+L24</f>
        <v>60.233028000000004</v>
      </c>
      <c r="N24" s="8">
        <f>((M24/1.22)-L24)*0.18</f>
        <v>7.2668401967213114</v>
      </c>
      <c r="O24" s="9">
        <v>0.04</v>
      </c>
      <c r="P24" s="8">
        <f>(((1-O24)*C24)/1.23)*F24+D24+N24</f>
        <v>42.25700605037985</v>
      </c>
      <c r="Q24" s="36">
        <f>(M24/1.22-P24)/(M24/1.22)</f>
        <v>0.14409836109412572</v>
      </c>
    </row>
    <row r="25" spans="2:17" ht="15.75" x14ac:dyDescent="0.25">
      <c r="B25" s="123"/>
      <c r="C25" s="34">
        <v>233.64</v>
      </c>
      <c r="D25" s="2">
        <v>15</v>
      </c>
      <c r="E25" s="2">
        <v>1.43</v>
      </c>
      <c r="F25" s="2">
        <v>0.22</v>
      </c>
      <c r="G25" s="2">
        <v>1</v>
      </c>
      <c r="H25" s="2">
        <v>42</v>
      </c>
      <c r="I25" s="2">
        <v>1</v>
      </c>
      <c r="J25" s="2">
        <v>0</v>
      </c>
      <c r="K25" s="6">
        <v>0.18</v>
      </c>
      <c r="L25" s="2">
        <v>9</v>
      </c>
      <c r="M25" s="7">
        <f>(C25+H25)*E25*F25*G25*I25+J25+L25</f>
        <v>95.716343999999992</v>
      </c>
      <c r="N25" s="8">
        <f>((M25/1.22)-L25)*0.18</f>
        <v>12.502083540983607</v>
      </c>
      <c r="O25" s="9">
        <v>0.04</v>
      </c>
      <c r="P25" s="8">
        <f>(((1-O25)*C25)/1.23)*F25+D25+N25</f>
        <v>67.619781101959205</v>
      </c>
      <c r="Q25" s="36">
        <f>(M25/1.22-P25)/(M25/1.22)</f>
        <v>0.13811863787452822</v>
      </c>
    </row>
    <row r="26" spans="2:17" ht="15.75" x14ac:dyDescent="0.25">
      <c r="B26" s="123"/>
      <c r="C26" s="34">
        <v>531.83000000000004</v>
      </c>
      <c r="D26" s="2">
        <v>15</v>
      </c>
      <c r="E26" s="2">
        <v>1.41</v>
      </c>
      <c r="F26" s="2">
        <v>0.22</v>
      </c>
      <c r="G26" s="2">
        <v>1</v>
      </c>
      <c r="H26" s="2">
        <v>42</v>
      </c>
      <c r="I26" s="2">
        <v>1</v>
      </c>
      <c r="J26" s="2">
        <v>0</v>
      </c>
      <c r="K26" s="6">
        <v>0.18</v>
      </c>
      <c r="L26" s="2">
        <v>9</v>
      </c>
      <c r="M26" s="7">
        <f>(C26+H26)*E26*F26*G26*I26+J26+L26</f>
        <v>187.00206600000001</v>
      </c>
      <c r="N26" s="8">
        <f>((M26/1.22)-L26)*0.18</f>
        <v>25.970468754098359</v>
      </c>
      <c r="O26" s="9">
        <v>0.04</v>
      </c>
      <c r="P26" s="8">
        <f>(((1-O26)*C26)/1.23)*F26+D26+N26</f>
        <v>132.28957119312275</v>
      </c>
      <c r="Q26" s="36">
        <f>(M26/1.22-P26)/(M26/1.22)</f>
        <v>0.13694388352046466</v>
      </c>
    </row>
    <row r="27" spans="2:17" x14ac:dyDescent="0.25">
      <c r="B27" s="123"/>
      <c r="Q27" s="18"/>
    </row>
    <row r="28" spans="2:17" x14ac:dyDescent="0.25">
      <c r="B28" s="123"/>
      <c r="Q28" s="18"/>
    </row>
    <row r="29" spans="2:17" ht="18.75" x14ac:dyDescent="0.3">
      <c r="B29" s="123"/>
      <c r="C29" s="134" t="s">
        <v>17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6"/>
    </row>
    <row r="30" spans="2:17" x14ac:dyDescent="0.25">
      <c r="B30" s="123"/>
      <c r="C30" s="1" t="s">
        <v>19</v>
      </c>
      <c r="D30" s="2" t="s">
        <v>2</v>
      </c>
      <c r="E30" s="2" t="s">
        <v>3</v>
      </c>
      <c r="F30" s="2" t="s">
        <v>4</v>
      </c>
      <c r="G30" s="2" t="s">
        <v>5</v>
      </c>
      <c r="H30" s="2" t="s">
        <v>6</v>
      </c>
      <c r="I30" s="2" t="s">
        <v>7</v>
      </c>
      <c r="J30" s="2" t="s">
        <v>8</v>
      </c>
      <c r="K30" s="2" t="s">
        <v>9</v>
      </c>
      <c r="L30" s="2" t="s">
        <v>10</v>
      </c>
      <c r="M30" s="2" t="s">
        <v>11</v>
      </c>
      <c r="N30" s="2" t="s">
        <v>12</v>
      </c>
      <c r="O30" s="2" t="s">
        <v>13</v>
      </c>
      <c r="P30" s="2" t="s">
        <v>14</v>
      </c>
      <c r="Q30" s="3" t="s">
        <v>15</v>
      </c>
    </row>
    <row r="31" spans="2:17" ht="15.75" x14ac:dyDescent="0.25">
      <c r="B31" s="123"/>
      <c r="C31" s="34">
        <v>11.01</v>
      </c>
      <c r="D31" s="2">
        <v>15</v>
      </c>
      <c r="E31" s="2">
        <v>2.54</v>
      </c>
      <c r="F31" s="2">
        <v>0.22</v>
      </c>
      <c r="G31" s="2">
        <v>1</v>
      </c>
      <c r="H31" s="2">
        <v>30</v>
      </c>
      <c r="I31" s="2">
        <v>1</v>
      </c>
      <c r="J31" s="2">
        <v>0</v>
      </c>
      <c r="K31" s="6">
        <v>0.18</v>
      </c>
      <c r="L31" s="2">
        <v>6</v>
      </c>
      <c r="M31" s="7">
        <f>(C31+H31)*E31*F31*G31*I31+J31+L31</f>
        <v>28.916387999999998</v>
      </c>
      <c r="N31" s="8">
        <f>((M31/1.22)-L31)*0.18</f>
        <v>3.1863523278688524</v>
      </c>
      <c r="O31" s="9">
        <v>0.04</v>
      </c>
      <c r="P31" s="8">
        <f>(((1-O31)*C31)/1.23)*F31+D31+N31</f>
        <v>20.076849888844464</v>
      </c>
      <c r="Q31" s="36">
        <f>(M31/1.22-P31)/(M31/1.22)</f>
        <v>0.15294549013555059</v>
      </c>
    </row>
    <row r="32" spans="2:17" ht="15.75" x14ac:dyDescent="0.25">
      <c r="B32" s="123"/>
      <c r="C32" s="34">
        <v>57.81</v>
      </c>
      <c r="D32" s="2">
        <v>15</v>
      </c>
      <c r="E32" s="2">
        <v>2.17</v>
      </c>
      <c r="F32" s="2">
        <v>0.22</v>
      </c>
      <c r="G32" s="2">
        <v>1</v>
      </c>
      <c r="H32" s="2">
        <v>20</v>
      </c>
      <c r="I32" s="2">
        <v>1</v>
      </c>
      <c r="J32" s="2">
        <v>0</v>
      </c>
      <c r="K32" s="6">
        <v>0.18</v>
      </c>
      <c r="L32" s="2">
        <v>6</v>
      </c>
      <c r="M32" s="7">
        <f>(C32+H32)*E32*F32*G32*I32+J32+L32</f>
        <v>43.146494000000004</v>
      </c>
      <c r="N32" s="8">
        <f>((M32/1.22)-L32)*0.18</f>
        <v>5.2858761639344261</v>
      </c>
      <c r="O32" s="9">
        <v>0.04</v>
      </c>
      <c r="P32" s="8">
        <f>(((1-O32)*C32)/1.23)*F32+D32+N32</f>
        <v>30.212276163934426</v>
      </c>
      <c r="Q32" s="36">
        <f>(M32/1.22-P32)/(M32/1.22)</f>
        <v>0.14572486654419714</v>
      </c>
    </row>
    <row r="33" spans="2:17" ht="15.75" x14ac:dyDescent="0.25">
      <c r="B33" s="123"/>
      <c r="C33" s="34">
        <v>116.42</v>
      </c>
      <c r="D33" s="2">
        <v>15</v>
      </c>
      <c r="E33" s="2">
        <v>1.66</v>
      </c>
      <c r="F33" s="2">
        <v>0.22</v>
      </c>
      <c r="G33" s="2">
        <v>1</v>
      </c>
      <c r="H33" s="2">
        <v>20</v>
      </c>
      <c r="I33" s="2">
        <v>1</v>
      </c>
      <c r="J33" s="2">
        <v>0</v>
      </c>
      <c r="K33" s="6">
        <v>0.18</v>
      </c>
      <c r="L33" s="2">
        <v>10</v>
      </c>
      <c r="M33" s="7">
        <f>(C33+H33)*E33*F33*G33*I33+J33+L33</f>
        <v>59.820584000000004</v>
      </c>
      <c r="N33" s="8">
        <f>((M33/1.22)-L33)*0.18</f>
        <v>7.0259878032786887</v>
      </c>
      <c r="O33" s="9">
        <v>0.04</v>
      </c>
      <c r="P33" s="8">
        <f>(((1-O33)*C33)/1.23)*F33+D33+N33</f>
        <v>42.016153656937227</v>
      </c>
      <c r="Q33" s="36">
        <f>(M33/1.22-P33)/(M33/1.22)</f>
        <v>0.14310921034366003</v>
      </c>
    </row>
    <row r="34" spans="2:17" ht="15.75" x14ac:dyDescent="0.25">
      <c r="B34" s="123"/>
      <c r="C34" s="34">
        <v>233.64</v>
      </c>
      <c r="D34" s="2">
        <v>15</v>
      </c>
      <c r="E34" s="2">
        <v>1.41</v>
      </c>
      <c r="F34" s="2">
        <v>0.22</v>
      </c>
      <c r="G34" s="2">
        <v>1</v>
      </c>
      <c r="H34" s="2">
        <v>20</v>
      </c>
      <c r="I34" s="2">
        <v>1</v>
      </c>
      <c r="J34" s="2">
        <v>0</v>
      </c>
      <c r="K34" s="6">
        <v>0.18</v>
      </c>
      <c r="L34" s="2">
        <v>15</v>
      </c>
      <c r="M34" s="7">
        <f>(C34+H34)*E34*F34*G34*I34+J34+L34</f>
        <v>93.679127999999992</v>
      </c>
      <c r="N34" s="8">
        <f>((M34/1.22)-L34)*0.18</f>
        <v>11.121510688524589</v>
      </c>
      <c r="O34" s="9">
        <v>0.04</v>
      </c>
      <c r="P34" s="8">
        <f>(((1-O34)*C34)/1.23)*F34+D34+N34</f>
        <v>66.239208249500194</v>
      </c>
      <c r="Q34" s="36">
        <f>(M34/1.22-P34)/(M34/1.22)</f>
        <v>0.13735497127609642</v>
      </c>
    </row>
    <row r="35" spans="2:17" ht="16.5" thickBot="1" x14ac:dyDescent="0.3">
      <c r="B35" s="124"/>
      <c r="C35" s="34">
        <v>531.83000000000004</v>
      </c>
      <c r="D35" s="2">
        <v>15</v>
      </c>
      <c r="E35" s="2">
        <v>1.32</v>
      </c>
      <c r="F35" s="2">
        <v>0.22</v>
      </c>
      <c r="G35" s="2">
        <v>1</v>
      </c>
      <c r="H35" s="2">
        <v>20</v>
      </c>
      <c r="I35" s="2">
        <v>1</v>
      </c>
      <c r="J35" s="2">
        <v>0</v>
      </c>
      <c r="K35" s="6">
        <v>0.18</v>
      </c>
      <c r="L35" s="2">
        <v>22</v>
      </c>
      <c r="M35" s="7">
        <f>(C35+H35)*E35*F35*G35*I35+J35+L35</f>
        <v>182.25143200000002</v>
      </c>
      <c r="N35" s="8">
        <f>((M35/1.22)-L35)*0.18</f>
        <v>22.92955554098361</v>
      </c>
      <c r="O35" s="9">
        <v>0.04</v>
      </c>
      <c r="P35" s="8">
        <f>(((1-O35)*C35)/1.23)*F35+D35+N35</f>
        <v>129.24865798000801</v>
      </c>
      <c r="Q35" s="36">
        <f>(M35/1.22-P35)/(M35/1.22)</f>
        <v>0.13480316173532328</v>
      </c>
    </row>
    <row r="37" spans="2:17" ht="15.75" thickBot="1" x14ac:dyDescent="0.3"/>
    <row r="38" spans="2:17" ht="31.15" customHeight="1" x14ac:dyDescent="0.3">
      <c r="B38" s="122" t="s">
        <v>20</v>
      </c>
      <c r="C38" s="131" t="s">
        <v>16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3"/>
    </row>
    <row r="39" spans="2:17" x14ac:dyDescent="0.25">
      <c r="B39" s="123"/>
      <c r="C39" s="1" t="s">
        <v>1</v>
      </c>
      <c r="D39" s="2" t="s">
        <v>2</v>
      </c>
      <c r="E39" s="2" t="s">
        <v>3</v>
      </c>
      <c r="F39" s="2" t="s">
        <v>4</v>
      </c>
      <c r="G39" s="2" t="s">
        <v>5</v>
      </c>
      <c r="H39" s="2" t="s">
        <v>6</v>
      </c>
      <c r="I39" s="2" t="s">
        <v>7</v>
      </c>
      <c r="J39" s="2" t="s">
        <v>8</v>
      </c>
      <c r="K39" s="2" t="s">
        <v>9</v>
      </c>
      <c r="L39" s="2" t="s">
        <v>10</v>
      </c>
      <c r="M39" s="2" t="s">
        <v>11</v>
      </c>
      <c r="N39" s="2" t="s">
        <v>12</v>
      </c>
      <c r="O39" s="2" t="s">
        <v>13</v>
      </c>
      <c r="P39" s="2" t="s">
        <v>14</v>
      </c>
      <c r="Q39" s="3" t="s">
        <v>15</v>
      </c>
    </row>
    <row r="40" spans="2:17" ht="15.75" x14ac:dyDescent="0.25">
      <c r="B40" s="123"/>
      <c r="C40" s="34">
        <v>13.9</v>
      </c>
      <c r="D40" s="2">
        <v>15</v>
      </c>
      <c r="E40" s="2">
        <v>1.31</v>
      </c>
      <c r="F40" s="2">
        <v>0.22</v>
      </c>
      <c r="G40" s="2">
        <v>1.23</v>
      </c>
      <c r="H40" s="2">
        <v>42</v>
      </c>
      <c r="I40" s="2">
        <v>1</v>
      </c>
      <c r="J40" s="2">
        <v>0</v>
      </c>
      <c r="K40" s="6">
        <v>0.18</v>
      </c>
      <c r="L40" s="2">
        <v>9</v>
      </c>
      <c r="M40" s="7">
        <f>(C40+H40)*E40*F40*G40*I40+J40+L40</f>
        <v>28.815767399999999</v>
      </c>
      <c r="N40" s="8">
        <f>((M40/1.22)-L40)*0.18</f>
        <v>2.6315066655737702</v>
      </c>
      <c r="O40" s="9">
        <v>0</v>
      </c>
      <c r="P40" s="8">
        <f>(1-O40)*C40*F40+D40+N40</f>
        <v>20.68950666557377</v>
      </c>
      <c r="Q40" s="36">
        <f>(M40/1.22-P40)/(M40/1.22)</f>
        <v>0.12404907418845972</v>
      </c>
    </row>
    <row r="41" spans="2:17" ht="15.75" x14ac:dyDescent="0.25">
      <c r="B41" s="123"/>
      <c r="C41" s="34">
        <v>70.900000000000006</v>
      </c>
      <c r="D41" s="2">
        <v>15</v>
      </c>
      <c r="E41" s="2">
        <v>1.36</v>
      </c>
      <c r="F41" s="2">
        <v>0.22</v>
      </c>
      <c r="G41" s="2">
        <v>1.23</v>
      </c>
      <c r="H41" s="2">
        <v>42</v>
      </c>
      <c r="I41" s="2">
        <v>1</v>
      </c>
      <c r="J41" s="2">
        <v>0</v>
      </c>
      <c r="K41" s="6">
        <v>0.18</v>
      </c>
      <c r="L41" s="2">
        <v>9</v>
      </c>
      <c r="M41" s="7">
        <f>(C41+H41)*E41*F41*G41*I41+J41+L41</f>
        <v>50.54900640000001</v>
      </c>
      <c r="N41" s="8">
        <f>((M41/1.22)-L41)*0.18</f>
        <v>5.8380501245901657</v>
      </c>
      <c r="O41" s="9">
        <v>0</v>
      </c>
      <c r="P41" s="8">
        <f>(1-O41)*C41*F41+D41+N41</f>
        <v>36.436050124590167</v>
      </c>
      <c r="Q41" s="36">
        <f>(M41/1.22-P41)/(M41/1.22)</f>
        <v>0.12061612447440727</v>
      </c>
    </row>
    <row r="42" spans="2:17" ht="15.75" x14ac:dyDescent="0.25">
      <c r="B42" s="123"/>
      <c r="C42" s="34">
        <v>132</v>
      </c>
      <c r="D42" s="2">
        <v>15</v>
      </c>
      <c r="E42" s="2">
        <v>1.35</v>
      </c>
      <c r="F42" s="2">
        <v>0.22</v>
      </c>
      <c r="G42" s="2">
        <v>1.23</v>
      </c>
      <c r="H42" s="2">
        <v>42</v>
      </c>
      <c r="I42" s="2">
        <v>1</v>
      </c>
      <c r="J42" s="2">
        <v>0</v>
      </c>
      <c r="K42" s="6">
        <v>0.18</v>
      </c>
      <c r="L42" s="2">
        <v>9</v>
      </c>
      <c r="M42" s="7">
        <f>(C42+H42)*E42*F42*G42*I42+J42+L42</f>
        <v>72.563940000000002</v>
      </c>
      <c r="N42" s="8">
        <f>((M42/1.22)-L42)*0.18</f>
        <v>9.0861550819672132</v>
      </c>
      <c r="O42" s="9">
        <v>0</v>
      </c>
      <c r="P42" s="8">
        <f>(1-O42)*C42*F42+D42+N42</f>
        <v>53.126155081967212</v>
      </c>
      <c r="Q42" s="36">
        <f>(M42/1.22-P42)/(M42/1.22)</f>
        <v>0.10680278386206708</v>
      </c>
    </row>
    <row r="43" spans="2:17" ht="15.75" x14ac:dyDescent="0.25">
      <c r="B43" s="123"/>
      <c r="C43" s="34">
        <v>272</v>
      </c>
      <c r="D43" s="2">
        <v>15</v>
      </c>
      <c r="E43" s="2">
        <v>1.33</v>
      </c>
      <c r="F43" s="2">
        <v>0.22</v>
      </c>
      <c r="G43" s="2">
        <v>1.23</v>
      </c>
      <c r="H43" s="2">
        <v>42</v>
      </c>
      <c r="I43" s="2">
        <v>1</v>
      </c>
      <c r="J43" s="2">
        <v>0</v>
      </c>
      <c r="K43" s="6">
        <v>0.18</v>
      </c>
      <c r="L43" s="2">
        <v>9</v>
      </c>
      <c r="M43" s="7">
        <f>(C43+H43)*E43*F43*G43*I43+J43+L43</f>
        <v>122.00797200000001</v>
      </c>
      <c r="N43" s="8">
        <f>((M43/1.22)-L43)*0.18</f>
        <v>16.381176196721313</v>
      </c>
      <c r="O43" s="9">
        <v>0</v>
      </c>
      <c r="P43" s="8">
        <f>(1-O43)*C43*F43+D43+N43</f>
        <v>91.221176196721316</v>
      </c>
      <c r="Q43" s="36">
        <f>(M43/1.22-P43)/(M43/1.22)</f>
        <v>8.7847841942656074E-2</v>
      </c>
    </row>
    <row r="44" spans="2:17" ht="15.75" x14ac:dyDescent="0.25">
      <c r="B44" s="123"/>
      <c r="C44" s="34">
        <v>439</v>
      </c>
      <c r="D44" s="2">
        <v>15</v>
      </c>
      <c r="E44" s="2">
        <v>1.32</v>
      </c>
      <c r="F44" s="2">
        <v>0.22</v>
      </c>
      <c r="G44" s="2">
        <v>1.23</v>
      </c>
      <c r="H44" s="2">
        <v>42</v>
      </c>
      <c r="I44" s="2">
        <v>1</v>
      </c>
      <c r="J44" s="2">
        <v>0</v>
      </c>
      <c r="K44" s="6">
        <v>0.18</v>
      </c>
      <c r="L44" s="2">
        <v>9</v>
      </c>
      <c r="M44" s="7">
        <f>(C44+H44)*E44*F44*G44*I44+J44+L44</f>
        <v>180.80935200000005</v>
      </c>
      <c r="N44" s="8">
        <f>((M44/1.22)-L44)*0.18</f>
        <v>25.05678963934427</v>
      </c>
      <c r="O44" s="9">
        <v>0</v>
      </c>
      <c r="P44" s="8">
        <f>(1-O44)*C44*F44+D44+N44</f>
        <v>136.63678963934427</v>
      </c>
      <c r="Q44" s="36">
        <f>(M44/1.22-P44)/(M44/1.22)</f>
        <v>7.8051652107021793E-2</v>
      </c>
    </row>
    <row r="45" spans="2:17" x14ac:dyDescent="0.25">
      <c r="B45" s="123"/>
      <c r="Q45" s="18"/>
    </row>
    <row r="46" spans="2:17" x14ac:dyDescent="0.25">
      <c r="B46" s="123"/>
      <c r="Q46" s="18"/>
    </row>
    <row r="47" spans="2:17" ht="18.75" x14ac:dyDescent="0.3">
      <c r="B47" s="123"/>
      <c r="C47" s="134" t="s">
        <v>17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6"/>
    </row>
    <row r="48" spans="2:17" x14ac:dyDescent="0.25">
      <c r="B48" s="123"/>
      <c r="C48" s="1" t="s">
        <v>1</v>
      </c>
      <c r="D48" s="2" t="s">
        <v>2</v>
      </c>
      <c r="E48" s="2" t="s">
        <v>3</v>
      </c>
      <c r="F48" s="2" t="s">
        <v>4</v>
      </c>
      <c r="G48" s="2" t="s">
        <v>5</v>
      </c>
      <c r="H48" s="2" t="s">
        <v>6</v>
      </c>
      <c r="I48" s="2" t="s">
        <v>7</v>
      </c>
      <c r="J48" s="2" t="s">
        <v>8</v>
      </c>
      <c r="K48" s="2" t="s">
        <v>9</v>
      </c>
      <c r="L48" s="2" t="s">
        <v>10</v>
      </c>
      <c r="M48" s="2" t="s">
        <v>11</v>
      </c>
      <c r="N48" s="2" t="s">
        <v>12</v>
      </c>
      <c r="O48" s="2" t="s">
        <v>13</v>
      </c>
      <c r="P48" s="2" t="s">
        <v>14</v>
      </c>
      <c r="Q48" s="3" t="s">
        <v>15</v>
      </c>
    </row>
    <row r="49" spans="2:17" ht="15.75" x14ac:dyDescent="0.25">
      <c r="B49" s="123"/>
      <c r="C49" s="34">
        <v>13.9</v>
      </c>
      <c r="D49" s="2">
        <v>15</v>
      </c>
      <c r="E49" s="2">
        <v>2.58</v>
      </c>
      <c r="F49" s="2">
        <v>0.22</v>
      </c>
      <c r="G49" s="2">
        <v>1.23</v>
      </c>
      <c r="H49" s="2">
        <v>20</v>
      </c>
      <c r="I49" s="2">
        <v>1</v>
      </c>
      <c r="J49" s="2">
        <v>0</v>
      </c>
      <c r="K49" s="6">
        <v>0.18</v>
      </c>
      <c r="L49" s="2">
        <v>6</v>
      </c>
      <c r="M49" s="7">
        <f>(C49+H49)*E49*F49*G49*I49+J49+L49</f>
        <v>29.6672172</v>
      </c>
      <c r="N49" s="8">
        <f>((M49/1.22)-L49)*0.18</f>
        <v>3.2971304065573772</v>
      </c>
      <c r="O49" s="9">
        <v>0</v>
      </c>
      <c r="P49" s="8">
        <f>(1-O49)*C49*F49+D49+N49</f>
        <v>21.355130406557379</v>
      </c>
      <c r="Q49" s="36">
        <f>(M49/1.22-P49)/(M49/1.22)</f>
        <v>0.12181655190767265</v>
      </c>
    </row>
    <row r="50" spans="2:17" ht="15.75" x14ac:dyDescent="0.25">
      <c r="B50" s="123"/>
      <c r="C50" s="34">
        <v>70.900000000000006</v>
      </c>
      <c r="D50" s="2">
        <v>15</v>
      </c>
      <c r="E50" s="2">
        <v>1.79</v>
      </c>
      <c r="F50" s="2">
        <v>0.22</v>
      </c>
      <c r="G50" s="2">
        <v>1.23</v>
      </c>
      <c r="H50" s="2">
        <v>20</v>
      </c>
      <c r="I50" s="2">
        <v>1</v>
      </c>
      <c r="J50" s="2">
        <v>0</v>
      </c>
      <c r="K50" s="6">
        <v>0.18</v>
      </c>
      <c r="L50" s="2">
        <v>7</v>
      </c>
      <c r="M50" s="7">
        <f>(C50+H50)*E50*F50*G50*I50+J50+L50</f>
        <v>51.029596600000005</v>
      </c>
      <c r="N50" s="8">
        <f>((M50/1.22)-L50)*0.18</f>
        <v>6.2689568754098364</v>
      </c>
      <c r="O50" s="9">
        <v>0</v>
      </c>
      <c r="P50" s="8">
        <f>(1-O50)*C50*F50+D50+N50</f>
        <v>36.866956875409834</v>
      </c>
      <c r="Q50" s="36">
        <f>(M50/1.22-P50)/(M50/1.22)</f>
        <v>0.1185960621918772</v>
      </c>
    </row>
    <row r="51" spans="2:17" ht="15.75" x14ac:dyDescent="0.25">
      <c r="B51" s="123"/>
      <c r="C51" s="34">
        <v>132</v>
      </c>
      <c r="D51" s="2">
        <v>15</v>
      </c>
      <c r="E51" s="2">
        <v>1.54</v>
      </c>
      <c r="F51" s="2">
        <v>0.22</v>
      </c>
      <c r="G51" s="2">
        <v>1.23</v>
      </c>
      <c r="H51" s="2">
        <v>20</v>
      </c>
      <c r="I51" s="2">
        <v>1</v>
      </c>
      <c r="J51" s="2">
        <v>0</v>
      </c>
      <c r="K51" s="6">
        <v>0.18</v>
      </c>
      <c r="L51" s="2">
        <v>10</v>
      </c>
      <c r="M51" s="7">
        <f>(C51+H51)*E51*F51*G51*I51+J51+L51</f>
        <v>73.342048000000005</v>
      </c>
      <c r="N51" s="8">
        <f>((M51/1.22)-L51)*0.18</f>
        <v>9.0209579016393437</v>
      </c>
      <c r="O51" s="9">
        <v>0</v>
      </c>
      <c r="P51" s="8">
        <f>(1-O51)*C51*F51+D51+N51</f>
        <v>53.060957901639341</v>
      </c>
      <c r="Q51" s="36">
        <f>(M51/1.22-P51)/(M51/1.22)</f>
        <v>0.11736349876676481</v>
      </c>
    </row>
    <row r="52" spans="2:17" ht="15.75" x14ac:dyDescent="0.25">
      <c r="B52" s="123"/>
      <c r="C52" s="34">
        <v>272</v>
      </c>
      <c r="D52" s="2">
        <v>15</v>
      </c>
      <c r="E52" s="2">
        <v>1.32</v>
      </c>
      <c r="F52" s="2">
        <v>0.22</v>
      </c>
      <c r="G52" s="2">
        <v>1.23</v>
      </c>
      <c r="H52" s="2">
        <v>20</v>
      </c>
      <c r="I52" s="2">
        <v>1</v>
      </c>
      <c r="J52" s="2">
        <v>0</v>
      </c>
      <c r="K52" s="6">
        <v>0.18</v>
      </c>
      <c r="L52" s="2">
        <v>19</v>
      </c>
      <c r="M52" s="7">
        <f>(C52+H52)*E52*F52*G52*I52+J52+L52</f>
        <v>123.30006400000001</v>
      </c>
      <c r="N52" s="8">
        <f>((M52/1.22)-L52)*0.18</f>
        <v>14.771812721311475</v>
      </c>
      <c r="O52" s="9">
        <v>0</v>
      </c>
      <c r="P52" s="8">
        <f>(1-O52)*C52*F52+D52+N52</f>
        <v>89.61181272131148</v>
      </c>
      <c r="Q52" s="36">
        <f>(M52/1.22-P52)/(M52/1.22)</f>
        <v>0.11333045601663268</v>
      </c>
    </row>
    <row r="53" spans="2:17" ht="16.5" thickBot="1" x14ac:dyDescent="0.3">
      <c r="B53" s="124"/>
      <c r="C53" s="34">
        <v>439</v>
      </c>
      <c r="D53" s="2">
        <v>15</v>
      </c>
      <c r="E53" s="2">
        <v>1.3</v>
      </c>
      <c r="F53" s="2">
        <v>0.22</v>
      </c>
      <c r="G53" s="2">
        <v>1.23</v>
      </c>
      <c r="H53" s="2">
        <v>20</v>
      </c>
      <c r="I53" s="2">
        <v>1</v>
      </c>
      <c r="J53" s="2">
        <v>0</v>
      </c>
      <c r="K53" s="6">
        <v>0.18</v>
      </c>
      <c r="L53" s="2">
        <v>22</v>
      </c>
      <c r="M53" s="7">
        <f>(C53+H53)*E53*F53*G53*I53+J53+L53</f>
        <v>183.46701999999999</v>
      </c>
      <c r="N53" s="8">
        <f>((M53/1.22)-L53)*0.18</f>
        <v>23.108904590163935</v>
      </c>
      <c r="O53" s="9">
        <v>0</v>
      </c>
      <c r="P53" s="8">
        <f>(1-O53)*C53*F53+D53+N53</f>
        <v>134.68890459016393</v>
      </c>
      <c r="Q53" s="36">
        <f>(M53/1.22-P53)/(M53/1.22)</f>
        <v>0.10435966311547443</v>
      </c>
    </row>
    <row r="55" spans="2:17" ht="15.75" thickBot="1" x14ac:dyDescent="0.3"/>
    <row r="56" spans="2:17" ht="18.75" x14ac:dyDescent="0.3">
      <c r="B56" s="122" t="s">
        <v>21</v>
      </c>
      <c r="C56" s="131" t="s">
        <v>16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3"/>
    </row>
    <row r="57" spans="2:17" x14ac:dyDescent="0.25">
      <c r="B57" s="123"/>
      <c r="C57" s="1" t="s">
        <v>19</v>
      </c>
      <c r="D57" s="2" t="s">
        <v>2</v>
      </c>
      <c r="E57" s="2" t="s">
        <v>3</v>
      </c>
      <c r="F57" s="2" t="s">
        <v>4</v>
      </c>
      <c r="G57" s="2" t="s">
        <v>5</v>
      </c>
      <c r="H57" s="2" t="s">
        <v>6</v>
      </c>
      <c r="I57" s="2" t="s">
        <v>7</v>
      </c>
      <c r="J57" s="2" t="s">
        <v>8</v>
      </c>
      <c r="K57" s="2" t="s">
        <v>9</v>
      </c>
      <c r="L57" s="2" t="s">
        <v>10</v>
      </c>
      <c r="M57" s="2" t="s">
        <v>11</v>
      </c>
      <c r="N57" s="2" t="s">
        <v>12</v>
      </c>
      <c r="O57" s="2" t="s">
        <v>13</v>
      </c>
      <c r="P57" s="2" t="s">
        <v>14</v>
      </c>
      <c r="Q57" s="3" t="s">
        <v>15</v>
      </c>
    </row>
    <row r="58" spans="2:17" ht="15.75" x14ac:dyDescent="0.25">
      <c r="B58" s="123"/>
      <c r="C58" s="34">
        <v>49.2</v>
      </c>
      <c r="D58" s="2">
        <v>15</v>
      </c>
      <c r="E58" s="2">
        <v>1.2</v>
      </c>
      <c r="F58" s="2">
        <v>0.22</v>
      </c>
      <c r="G58" s="2">
        <v>1</v>
      </c>
      <c r="H58" s="2">
        <v>42</v>
      </c>
      <c r="I58" s="2">
        <v>1</v>
      </c>
      <c r="J58" s="2">
        <v>0</v>
      </c>
      <c r="K58" s="6">
        <v>0.18</v>
      </c>
      <c r="L58" s="2">
        <v>9</v>
      </c>
      <c r="M58" s="7">
        <f>(C58+H58)*E58*F58*G58*I58+J58+L58</f>
        <v>33.076799999999999</v>
      </c>
      <c r="N58" s="8">
        <f>((M58/1.22)-L58)*0.18</f>
        <v>3.2601836065573768</v>
      </c>
      <c r="O58" s="9">
        <v>0.28000000000000003</v>
      </c>
      <c r="P58" s="8">
        <f>(((1-O58)*C58)/1.23)*F58+D58+N58</f>
        <v>24.596183606557375</v>
      </c>
      <c r="Q58" s="36">
        <f>(M58/1.22-P58)/(M58/1.22)</f>
        <v>9.2797852271078243E-2</v>
      </c>
    </row>
    <row r="59" spans="2:17" ht="15.75" x14ac:dyDescent="0.25">
      <c r="B59" s="123"/>
      <c r="C59" s="34">
        <v>127.92</v>
      </c>
      <c r="D59" s="2">
        <v>15</v>
      </c>
      <c r="E59" s="2">
        <v>1.1299999999999999</v>
      </c>
      <c r="F59" s="2">
        <v>0.22</v>
      </c>
      <c r="G59" s="2">
        <v>1</v>
      </c>
      <c r="H59" s="2">
        <v>35</v>
      </c>
      <c r="I59" s="2">
        <v>1</v>
      </c>
      <c r="J59" s="2">
        <v>0</v>
      </c>
      <c r="K59" s="6">
        <v>0.18</v>
      </c>
      <c r="L59" s="2">
        <v>9</v>
      </c>
      <c r="M59" s="7">
        <f>(C59+H59)*E59*F59*G59*I59+J59+L59</f>
        <v>49.501912000000004</v>
      </c>
      <c r="N59" s="8">
        <f>((M59/1.22)-L59)*0.18</f>
        <v>5.6835607868852458</v>
      </c>
      <c r="O59" s="9">
        <v>0.28000000000000003</v>
      </c>
      <c r="P59" s="8">
        <f>(((1-O59)*C59)/1.23)*F59+D59+N59</f>
        <v>37.15716078688525</v>
      </c>
      <c r="Q59" s="36">
        <f>(M59/1.22-P59)/(M59/1.22)</f>
        <v>8.4242722584129626E-2</v>
      </c>
    </row>
    <row r="60" spans="2:17" ht="15.75" x14ac:dyDescent="0.25">
      <c r="B60" s="123"/>
      <c r="C60" s="34">
        <v>238.62</v>
      </c>
      <c r="D60" s="2">
        <v>15</v>
      </c>
      <c r="E60" s="2">
        <v>1.1299999999999999</v>
      </c>
      <c r="F60" s="2">
        <v>0.22</v>
      </c>
      <c r="G60" s="2">
        <v>1</v>
      </c>
      <c r="H60" s="2">
        <v>20</v>
      </c>
      <c r="I60" s="2">
        <v>1</v>
      </c>
      <c r="J60" s="2">
        <v>0</v>
      </c>
      <c r="K60" s="6">
        <v>0.18</v>
      </c>
      <c r="L60" s="2">
        <v>9</v>
      </c>
      <c r="M60" s="7">
        <f>(C60+H60)*E60*F60*G60*I60+J60+L60</f>
        <v>73.292931999999993</v>
      </c>
      <c r="N60" s="8">
        <f>((M60/1.22)-L60)*0.18</f>
        <v>9.1937112786885233</v>
      </c>
      <c r="O60" s="9">
        <v>0.28000000000000003</v>
      </c>
      <c r="P60" s="8">
        <f>(((1-O60)*C60)/1.23)*F60+D60+N60</f>
        <v>54.92331127868853</v>
      </c>
      <c r="Q60" s="36">
        <f>(M60/1.22-P60)/(M60/1.22)</f>
        <v>8.5772148397610687E-2</v>
      </c>
    </row>
    <row r="61" spans="2:17" ht="15.75" x14ac:dyDescent="0.25">
      <c r="B61" s="123"/>
      <c r="C61" s="34">
        <v>437.88</v>
      </c>
      <c r="D61" s="2">
        <v>30</v>
      </c>
      <c r="E61" s="2">
        <v>1.25</v>
      </c>
      <c r="F61" s="2">
        <v>0.22</v>
      </c>
      <c r="G61" s="2">
        <v>1</v>
      </c>
      <c r="H61" s="2">
        <v>20</v>
      </c>
      <c r="I61" s="2">
        <v>1</v>
      </c>
      <c r="J61" s="2">
        <v>0</v>
      </c>
      <c r="K61" s="6">
        <v>0.18</v>
      </c>
      <c r="L61" s="2">
        <v>9</v>
      </c>
      <c r="M61" s="7">
        <f>(C61+H61)*E61*F61*G61*I61+J61+L61</f>
        <v>134.917</v>
      </c>
      <c r="N61" s="8">
        <f>((M61/1.22)-L61)*0.18</f>
        <v>18.285786885245901</v>
      </c>
      <c r="O61" s="9">
        <v>0.28000000000000003</v>
      </c>
      <c r="P61" s="8">
        <f>(((1-O61)*C61)/1.23)*F61+D61+N61</f>
        <v>104.6761868852459</v>
      </c>
      <c r="Q61" s="36">
        <f>(M61/1.22-P61)/(M61/1.22)</f>
        <v>5.3455472623909532E-2</v>
      </c>
    </row>
    <row r="62" spans="2:17" ht="15.75" x14ac:dyDescent="0.25">
      <c r="B62" s="123"/>
      <c r="C62" s="34">
        <v>992.61</v>
      </c>
      <c r="D62" s="2">
        <v>30</v>
      </c>
      <c r="E62" s="2">
        <v>1.07</v>
      </c>
      <c r="F62" s="2">
        <v>0.22</v>
      </c>
      <c r="G62" s="2">
        <v>1</v>
      </c>
      <c r="H62" s="2">
        <v>0</v>
      </c>
      <c r="I62" s="2">
        <v>1</v>
      </c>
      <c r="J62" s="2">
        <v>0</v>
      </c>
      <c r="K62" s="6">
        <v>0.18</v>
      </c>
      <c r="L62" s="2">
        <v>11</v>
      </c>
      <c r="M62" s="7">
        <f>(C62+H62)*E62*F62*G62*I62+J62+L62</f>
        <v>244.66039400000003</v>
      </c>
      <c r="N62" s="8">
        <f>((M62/1.22)-L62)*0.18</f>
        <v>34.117435180327874</v>
      </c>
      <c r="O62" s="9">
        <v>0.28000000000000003</v>
      </c>
      <c r="P62" s="8">
        <f>(((1-O62)*C62)/1.23)*F62+D62+N62</f>
        <v>191.94623518032788</v>
      </c>
      <c r="Q62" s="36">
        <f>(M62/1.22-P62)/(M62/1.22)</f>
        <v>4.2859356631298619E-2</v>
      </c>
    </row>
    <row r="63" spans="2:17" x14ac:dyDescent="0.25">
      <c r="B63" s="123"/>
      <c r="Q63" s="18"/>
    </row>
    <row r="64" spans="2:17" x14ac:dyDescent="0.25">
      <c r="B64" s="123"/>
      <c r="Q64" s="18"/>
    </row>
    <row r="65" spans="2:17" ht="18.75" x14ac:dyDescent="0.3">
      <c r="B65" s="123"/>
      <c r="C65" s="134" t="s">
        <v>17</v>
      </c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6"/>
    </row>
    <row r="66" spans="2:17" x14ac:dyDescent="0.25">
      <c r="B66" s="123"/>
      <c r="C66" s="1" t="s">
        <v>19</v>
      </c>
      <c r="D66" s="2" t="s">
        <v>2</v>
      </c>
      <c r="E66" s="2" t="s">
        <v>3</v>
      </c>
      <c r="F66" s="2" t="s">
        <v>4</v>
      </c>
      <c r="G66" s="2" t="s">
        <v>5</v>
      </c>
      <c r="H66" s="2" t="s">
        <v>6</v>
      </c>
      <c r="I66" s="2" t="s">
        <v>7</v>
      </c>
      <c r="J66" s="2" t="s">
        <v>8</v>
      </c>
      <c r="K66" s="2" t="s">
        <v>9</v>
      </c>
      <c r="L66" s="2" t="s">
        <v>10</v>
      </c>
      <c r="M66" s="2" t="s">
        <v>11</v>
      </c>
      <c r="N66" s="2" t="s">
        <v>12</v>
      </c>
      <c r="O66" s="2" t="s">
        <v>13</v>
      </c>
      <c r="P66" s="2" t="s">
        <v>14</v>
      </c>
      <c r="Q66" s="3" t="s">
        <v>15</v>
      </c>
    </row>
    <row r="67" spans="2:17" ht="15.75" x14ac:dyDescent="0.25">
      <c r="B67" s="123"/>
      <c r="C67" s="34">
        <v>49.2</v>
      </c>
      <c r="D67" s="2">
        <v>15</v>
      </c>
      <c r="E67" s="2">
        <v>1.92</v>
      </c>
      <c r="F67" s="2">
        <v>0.22</v>
      </c>
      <c r="G67" s="2">
        <v>1</v>
      </c>
      <c r="H67" s="2">
        <v>20</v>
      </c>
      <c r="I67" s="2">
        <v>1</v>
      </c>
      <c r="J67" s="2">
        <v>0</v>
      </c>
      <c r="K67" s="6">
        <v>0.18</v>
      </c>
      <c r="L67" s="2">
        <v>6</v>
      </c>
      <c r="M67" s="7">
        <f>(C67+H67)*E67*F67*G67*I67+J67+L67</f>
        <v>35.230080000000001</v>
      </c>
      <c r="N67" s="8">
        <f>((M67/1.22)-L67)*0.18</f>
        <v>4.1178806557377046</v>
      </c>
      <c r="O67" s="9">
        <v>0.28000000000000003</v>
      </c>
      <c r="P67" s="8">
        <f>(((1-O67)*C67)/1.23)*F67+D67+N67</f>
        <v>25.453880655737702</v>
      </c>
      <c r="Q67" s="36">
        <f>(M67/1.22-P67)/(M67/1.22)</f>
        <v>0.1185448798299636</v>
      </c>
    </row>
    <row r="68" spans="2:17" ht="15.75" x14ac:dyDescent="0.25">
      <c r="B68" s="123"/>
      <c r="C68" s="34">
        <v>127.92</v>
      </c>
      <c r="D68" s="2">
        <v>15</v>
      </c>
      <c r="E68" s="2">
        <v>1.39</v>
      </c>
      <c r="F68" s="2">
        <v>0.22</v>
      </c>
      <c r="G68" s="2">
        <v>1</v>
      </c>
      <c r="H68" s="2">
        <v>20</v>
      </c>
      <c r="I68" s="2">
        <v>1</v>
      </c>
      <c r="J68" s="2">
        <v>0</v>
      </c>
      <c r="K68" s="6">
        <v>0.18</v>
      </c>
      <c r="L68" s="2">
        <v>7</v>
      </c>
      <c r="M68" s="7">
        <f>(C68+H68)*E68*F68*G68*I68+J68+L68</f>
        <v>52.233936</v>
      </c>
      <c r="N68" s="8">
        <f>((M68/1.22)-L68)*0.18</f>
        <v>6.4466462950819672</v>
      </c>
      <c r="O68" s="9">
        <v>0.28000000000000003</v>
      </c>
      <c r="P68" s="8">
        <f>(((1-O68)*C68)/1.23)*F68+D68+N68</f>
        <v>37.920246295081967</v>
      </c>
      <c r="Q68" s="36">
        <f>(M68/1.22-P68)/(M68/1.22)</f>
        <v>0.11431716575982333</v>
      </c>
    </row>
    <row r="69" spans="2:17" ht="15.75" x14ac:dyDescent="0.25">
      <c r="B69" s="123"/>
      <c r="C69" s="34">
        <v>238.62</v>
      </c>
      <c r="D69" s="2">
        <v>15</v>
      </c>
      <c r="E69" s="2">
        <v>1.1499999999999999</v>
      </c>
      <c r="F69" s="2">
        <v>0.22</v>
      </c>
      <c r="G69" s="2">
        <v>1</v>
      </c>
      <c r="H69" s="2">
        <v>20</v>
      </c>
      <c r="I69" s="2">
        <v>1</v>
      </c>
      <c r="J69" s="2">
        <v>0</v>
      </c>
      <c r="K69" s="6">
        <v>0.18</v>
      </c>
      <c r="L69" s="2">
        <v>10</v>
      </c>
      <c r="M69" s="7">
        <f>(C69+H69)*E69*F69*G69*I69+J69+L69</f>
        <v>75.430859999999996</v>
      </c>
      <c r="N69" s="8">
        <f>((M69/1.22)-L69)*0.18</f>
        <v>9.3291432786885231</v>
      </c>
      <c r="O69" s="9">
        <v>0.28000000000000003</v>
      </c>
      <c r="P69" s="8">
        <f>(((1-O69)*C69)/1.23)*F69+D69+N69</f>
        <v>55.058743278688524</v>
      </c>
      <c r="Q69" s="36">
        <f>(M69/1.22-P69)/(M69/1.22)</f>
        <v>0.10949355741138304</v>
      </c>
    </row>
    <row r="70" spans="2:17" ht="15.75" x14ac:dyDescent="0.25">
      <c r="B70" s="123"/>
      <c r="C70" s="34">
        <v>437.88</v>
      </c>
      <c r="D70" s="2">
        <v>30</v>
      </c>
      <c r="E70" s="2">
        <v>1.21</v>
      </c>
      <c r="F70" s="2">
        <v>0.22</v>
      </c>
      <c r="G70" s="2">
        <v>1</v>
      </c>
      <c r="H70" s="2">
        <v>20</v>
      </c>
      <c r="I70" s="2">
        <v>1</v>
      </c>
      <c r="J70" s="2">
        <v>0</v>
      </c>
      <c r="K70" s="6">
        <v>0.18</v>
      </c>
      <c r="L70" s="2">
        <v>19</v>
      </c>
      <c r="M70" s="7">
        <f>(C70+H70)*E70*F70*G70*I70+J70+L70</f>
        <v>140.88765599999999</v>
      </c>
      <c r="N70" s="8">
        <f>((M70/1.22)-L70)*0.18</f>
        <v>17.366703344262294</v>
      </c>
      <c r="O70" s="9">
        <v>0.28000000000000003</v>
      </c>
      <c r="P70" s="8">
        <f>(((1-O70)*C70)/1.23)*F70+D70+N70</f>
        <v>103.75710334426229</v>
      </c>
      <c r="Q70" s="36">
        <f>(M70/1.22-P70)/(M70/1.22)</f>
        <v>0.10152763078122327</v>
      </c>
    </row>
    <row r="71" spans="2:17" ht="16.5" thickBot="1" x14ac:dyDescent="0.3">
      <c r="B71" s="124"/>
      <c r="C71" s="34">
        <v>992.61</v>
      </c>
      <c r="D71" s="2">
        <v>30</v>
      </c>
      <c r="E71" s="2">
        <v>1.04</v>
      </c>
      <c r="F71" s="2">
        <v>0.22</v>
      </c>
      <c r="G71" s="2">
        <v>1</v>
      </c>
      <c r="H71" s="2">
        <v>20</v>
      </c>
      <c r="I71" s="2">
        <v>1</v>
      </c>
      <c r="J71" s="2">
        <v>0</v>
      </c>
      <c r="K71" s="6">
        <v>0.18</v>
      </c>
      <c r="L71" s="2">
        <v>27</v>
      </c>
      <c r="M71" s="7">
        <f>(C71+H71)*E71*F71*G71*I71+J71+L71</f>
        <v>258.68516800000003</v>
      </c>
      <c r="N71" s="8">
        <f>((M71/1.22)-L71)*0.18</f>
        <v>33.306664131147542</v>
      </c>
      <c r="O71" s="9">
        <v>0.28000000000000003</v>
      </c>
      <c r="P71" s="8">
        <f>(((1-O71)*C71)/1.23)*F71+D71+N71</f>
        <v>191.13546413114756</v>
      </c>
      <c r="Q71" s="36">
        <f>(M71/1.22-P71)/(M71/1.22)</f>
        <v>9.8575043776765792E-2</v>
      </c>
    </row>
    <row r="73" spans="2:17" ht="15.75" thickBot="1" x14ac:dyDescent="0.3"/>
    <row r="74" spans="2:17" ht="18.75" x14ac:dyDescent="0.3">
      <c r="B74" s="122" t="s">
        <v>22</v>
      </c>
      <c r="C74" s="131" t="s">
        <v>16</v>
      </c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3"/>
    </row>
    <row r="75" spans="2:17" x14ac:dyDescent="0.25">
      <c r="B75" s="123"/>
      <c r="C75" s="1" t="s">
        <v>19</v>
      </c>
      <c r="D75" s="2" t="s">
        <v>2</v>
      </c>
      <c r="E75" s="2" t="s">
        <v>3</v>
      </c>
      <c r="F75" s="2" t="s">
        <v>4</v>
      </c>
      <c r="G75" s="2" t="s">
        <v>5</v>
      </c>
      <c r="H75" s="2" t="s">
        <v>6</v>
      </c>
      <c r="I75" s="2" t="s">
        <v>7</v>
      </c>
      <c r="J75" s="2" t="s">
        <v>8</v>
      </c>
      <c r="K75" s="2" t="s">
        <v>9</v>
      </c>
      <c r="L75" s="2" t="s">
        <v>10</v>
      </c>
      <c r="M75" s="2" t="s">
        <v>11</v>
      </c>
      <c r="N75" s="2" t="s">
        <v>12</v>
      </c>
      <c r="O75" s="2" t="s">
        <v>13</v>
      </c>
      <c r="P75" s="2" t="s">
        <v>14</v>
      </c>
      <c r="Q75" s="3" t="s">
        <v>15</v>
      </c>
    </row>
    <row r="76" spans="2:17" ht="15.75" x14ac:dyDescent="0.25">
      <c r="B76" s="123"/>
      <c r="C76" s="34">
        <v>36</v>
      </c>
      <c r="D76" s="2">
        <v>15</v>
      </c>
      <c r="E76" s="2">
        <v>1.33</v>
      </c>
      <c r="F76" s="2">
        <v>0.22</v>
      </c>
      <c r="G76" s="2">
        <v>1</v>
      </c>
      <c r="H76" s="2">
        <v>42</v>
      </c>
      <c r="I76" s="2">
        <v>1</v>
      </c>
      <c r="J76" s="2">
        <v>0</v>
      </c>
      <c r="K76" s="6">
        <v>0.18</v>
      </c>
      <c r="L76" s="2">
        <v>9</v>
      </c>
      <c r="M76" s="7">
        <f>(C76+H76)*E76*F76*G76*I76+J76+L76</f>
        <v>31.822800000000001</v>
      </c>
      <c r="N76" s="8">
        <f>((M76/1.22)-L76)*0.18</f>
        <v>3.0751672131147547</v>
      </c>
      <c r="O76" s="9">
        <v>0.25</v>
      </c>
      <c r="P76" s="8">
        <f>(((1-O76)*C76)/1.23)*F76+D76+N76</f>
        <v>22.904435505797679</v>
      </c>
      <c r="Q76" s="36">
        <f>(M76/1.22-P76)/(M76/1.22)</f>
        <v>0.12190595054259321</v>
      </c>
    </row>
    <row r="77" spans="2:17" ht="15.75" x14ac:dyDescent="0.25">
      <c r="B77" s="123"/>
      <c r="C77" s="34">
        <v>179</v>
      </c>
      <c r="D77" s="2">
        <v>15</v>
      </c>
      <c r="E77" s="2">
        <v>1.1499999999999999</v>
      </c>
      <c r="F77" s="2">
        <v>0.22</v>
      </c>
      <c r="G77" s="2">
        <v>1</v>
      </c>
      <c r="H77" s="2">
        <v>42</v>
      </c>
      <c r="I77" s="2">
        <v>1</v>
      </c>
      <c r="J77" s="2">
        <v>0</v>
      </c>
      <c r="K77" s="6">
        <v>0.18</v>
      </c>
      <c r="L77" s="2">
        <v>9</v>
      </c>
      <c r="M77" s="7">
        <f>(C77+H77)*E77*F77*G77*I77+J77+L77</f>
        <v>64.912999999999997</v>
      </c>
      <c r="N77" s="8">
        <f>((M77/1.22)-L77)*0.18</f>
        <v>7.9573278688524578</v>
      </c>
      <c r="O77" s="9">
        <v>0.25</v>
      </c>
      <c r="P77" s="8">
        <f>(((1-O77)*C77)/1.23)*F77+D77+N77</f>
        <v>46.969522990803682</v>
      </c>
      <c r="Q77" s="36">
        <f>(M77/1.22-P77)/(M77/1.22)</f>
        <v>0.11723663905873249</v>
      </c>
    </row>
    <row r="78" spans="2:17" ht="15.75" x14ac:dyDescent="0.25">
      <c r="B78" s="123"/>
      <c r="C78" s="34">
        <v>269</v>
      </c>
      <c r="D78" s="2">
        <v>15</v>
      </c>
      <c r="E78" s="2">
        <v>1.1200000000000001</v>
      </c>
      <c r="F78" s="2">
        <v>0.22</v>
      </c>
      <c r="G78" s="2">
        <v>1</v>
      </c>
      <c r="H78" s="2">
        <v>42</v>
      </c>
      <c r="I78" s="2">
        <v>1</v>
      </c>
      <c r="J78" s="2">
        <v>0</v>
      </c>
      <c r="K78" s="6">
        <v>0.18</v>
      </c>
      <c r="L78" s="2">
        <v>9</v>
      </c>
      <c r="M78" s="7">
        <f>(C78+H78)*E78*F78*G78*I78+J78+L78</f>
        <v>85.630400000000009</v>
      </c>
      <c r="N78" s="8">
        <f>((M78/1.22)-L78)*0.18</f>
        <v>11.013993442622953</v>
      </c>
      <c r="O78" s="9">
        <v>0.25</v>
      </c>
      <c r="P78" s="8">
        <f>(((1-O78)*C78)/1.23)*F78+D78+N78</f>
        <v>62.099359296281492</v>
      </c>
      <c r="Q78" s="36">
        <f>(M78/1.22-P78)/(M78/1.22)</f>
        <v>0.11525324719418092</v>
      </c>
    </row>
    <row r="79" spans="2:17" ht="15.75" x14ac:dyDescent="0.25">
      <c r="B79" s="123"/>
      <c r="C79" s="34">
        <v>769</v>
      </c>
      <c r="D79" s="2">
        <v>15</v>
      </c>
      <c r="E79" s="2">
        <v>1.06</v>
      </c>
      <c r="F79" s="2">
        <v>0.22</v>
      </c>
      <c r="G79" s="2">
        <v>1</v>
      </c>
      <c r="H79" s="2">
        <v>42</v>
      </c>
      <c r="I79" s="2">
        <v>1</v>
      </c>
      <c r="J79" s="2">
        <v>0</v>
      </c>
      <c r="K79" s="6">
        <v>0.18</v>
      </c>
      <c r="L79" s="2">
        <v>11</v>
      </c>
      <c r="M79" s="7">
        <f>(C79+H79)*E79*F79*G79*I79+J79+L79</f>
        <v>200.12520000000001</v>
      </c>
      <c r="N79" s="8">
        <f>((M79/1.22)-L79)*0.18</f>
        <v>27.546668852459014</v>
      </c>
      <c r="O79" s="9">
        <v>0.25</v>
      </c>
      <c r="P79" s="8">
        <f>(((1-O79)*C79)/1.23)*F79+D79+N79</f>
        <v>145.70520543782487</v>
      </c>
      <c r="Q79" s="36">
        <f>(M79/1.22-P79)/(M79/1.22)</f>
        <v>0.11175428864457677</v>
      </c>
    </row>
    <row r="80" spans="2:17" ht="15.75" x14ac:dyDescent="0.25">
      <c r="B80" s="123"/>
      <c r="C80" s="34">
        <v>1999</v>
      </c>
      <c r="D80" s="2">
        <v>15</v>
      </c>
      <c r="E80" s="2">
        <v>1.05</v>
      </c>
      <c r="F80" s="2">
        <v>0.22</v>
      </c>
      <c r="G80" s="2">
        <v>1</v>
      </c>
      <c r="H80" s="2">
        <v>42</v>
      </c>
      <c r="I80" s="2">
        <v>1</v>
      </c>
      <c r="J80" s="2">
        <v>0</v>
      </c>
      <c r="K80" s="6">
        <v>0.18</v>
      </c>
      <c r="L80" s="2">
        <v>11</v>
      </c>
      <c r="M80" s="7">
        <f>(C80+H80)*E80*F80*G80*I80+J80+L80</f>
        <v>482.47100000000006</v>
      </c>
      <c r="N80" s="8">
        <f>((M80/1.22)-L80)*0.18</f>
        <v>69.204245901639354</v>
      </c>
      <c r="O80" s="9">
        <v>0.25</v>
      </c>
      <c r="P80" s="8">
        <f>(((1-O80)*C80)/1.23)*F80+D80+N80</f>
        <v>352.36278248700523</v>
      </c>
      <c r="Q80" s="36">
        <f>(M80/1.22-P80)/(M80/1.22)</f>
        <v>0.10899806489064356</v>
      </c>
    </row>
    <row r="81" spans="2:17" x14ac:dyDescent="0.25">
      <c r="B81" s="123"/>
      <c r="Q81" s="18"/>
    </row>
    <row r="82" spans="2:17" x14ac:dyDescent="0.25">
      <c r="B82" s="123"/>
      <c r="Q82" s="18"/>
    </row>
    <row r="83" spans="2:17" ht="18.75" x14ac:dyDescent="0.3">
      <c r="B83" s="123"/>
      <c r="C83" s="134" t="s">
        <v>17</v>
      </c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6"/>
    </row>
    <row r="84" spans="2:17" x14ac:dyDescent="0.25">
      <c r="B84" s="123"/>
      <c r="C84" s="1" t="s">
        <v>19</v>
      </c>
      <c r="D84" s="2" t="s">
        <v>2</v>
      </c>
      <c r="E84" s="2" t="s">
        <v>3</v>
      </c>
      <c r="F84" s="2" t="s">
        <v>4</v>
      </c>
      <c r="G84" s="2" t="s">
        <v>5</v>
      </c>
      <c r="H84" s="2" t="s">
        <v>6</v>
      </c>
      <c r="I84" s="2" t="s">
        <v>7</v>
      </c>
      <c r="J84" s="2" t="s">
        <v>8</v>
      </c>
      <c r="K84" s="2" t="s">
        <v>9</v>
      </c>
      <c r="L84" s="2" t="s">
        <v>10</v>
      </c>
      <c r="M84" s="2" t="s">
        <v>11</v>
      </c>
      <c r="N84" s="2" t="s">
        <v>12</v>
      </c>
      <c r="O84" s="2" t="s">
        <v>13</v>
      </c>
      <c r="P84" s="2" t="s">
        <v>14</v>
      </c>
      <c r="Q84" s="3" t="s">
        <v>15</v>
      </c>
    </row>
    <row r="85" spans="2:17" ht="15.75" x14ac:dyDescent="0.25">
      <c r="B85" s="123"/>
      <c r="C85" s="34">
        <v>36</v>
      </c>
      <c r="D85" s="2">
        <v>15</v>
      </c>
      <c r="E85" s="2">
        <v>2.19</v>
      </c>
      <c r="F85" s="2">
        <v>0.22</v>
      </c>
      <c r="G85" s="2">
        <v>1</v>
      </c>
      <c r="H85" s="2">
        <v>20</v>
      </c>
      <c r="I85" s="2">
        <v>1</v>
      </c>
      <c r="J85" s="2">
        <v>0</v>
      </c>
      <c r="K85" s="6">
        <v>0.18</v>
      </c>
      <c r="L85" s="2">
        <v>6</v>
      </c>
      <c r="M85" s="7">
        <f>(C85+H85)*E85*F85*G85*I85+J85+L85</f>
        <v>32.980800000000002</v>
      </c>
      <c r="N85" s="8">
        <f>((M85/1.22)-L85)*0.18</f>
        <v>3.7860196721311481</v>
      </c>
      <c r="O85" s="9">
        <v>0.25</v>
      </c>
      <c r="P85" s="8">
        <f>(((1-O85)*C85)/1.23)*F85+D85+N85</f>
        <v>23.615287964814073</v>
      </c>
      <c r="Q85" s="36">
        <f>(M85/1.22-P85)/(M85/1.22)</f>
        <v>0.12644170799152338</v>
      </c>
    </row>
    <row r="86" spans="2:17" ht="15.75" x14ac:dyDescent="0.25">
      <c r="B86" s="123"/>
      <c r="C86" s="34">
        <v>179</v>
      </c>
      <c r="D86" s="2">
        <v>15</v>
      </c>
      <c r="E86" s="2">
        <v>1.25</v>
      </c>
      <c r="F86" s="2">
        <v>0.22</v>
      </c>
      <c r="G86" s="2">
        <v>1</v>
      </c>
      <c r="H86" s="2">
        <v>20</v>
      </c>
      <c r="I86" s="2">
        <v>1</v>
      </c>
      <c r="J86" s="2">
        <v>0</v>
      </c>
      <c r="K86" s="6">
        <v>0.18</v>
      </c>
      <c r="L86" s="2">
        <v>10</v>
      </c>
      <c r="M86" s="7">
        <f>(C86+H86)*E86*F86*G86*I86+J86+L86</f>
        <v>64.724999999999994</v>
      </c>
      <c r="N86" s="8">
        <f>((M86/1.22)-L86)*0.18</f>
        <v>7.7495901639344247</v>
      </c>
      <c r="O86" s="9">
        <v>0.25</v>
      </c>
      <c r="P86" s="8">
        <f>(((1-O86)*C86)/1.23)*F86+D86+N86</f>
        <v>46.761785285885651</v>
      </c>
      <c r="Q86" s="36">
        <f>(M86/1.22-P86)/(M86/1.22)</f>
        <v>0.11858821091107766</v>
      </c>
    </row>
    <row r="87" spans="2:17" ht="15.75" x14ac:dyDescent="0.25">
      <c r="B87" s="123"/>
      <c r="C87" s="34">
        <v>269</v>
      </c>
      <c r="D87" s="2">
        <v>15</v>
      </c>
      <c r="E87" s="2">
        <v>1.085</v>
      </c>
      <c r="F87" s="2">
        <v>0.22</v>
      </c>
      <c r="G87" s="2">
        <v>1</v>
      </c>
      <c r="H87" s="2">
        <v>20</v>
      </c>
      <c r="I87" s="2">
        <v>1</v>
      </c>
      <c r="J87" s="2">
        <v>0</v>
      </c>
      <c r="K87" s="6">
        <v>0.18</v>
      </c>
      <c r="L87" s="2">
        <v>15</v>
      </c>
      <c r="M87" s="7">
        <f>(C87+H87)*E87*F87*G87*I87+J87+L87</f>
        <v>83.984300000000005</v>
      </c>
      <c r="N87" s="8">
        <f>((M87/1.22)-L87)*0.18</f>
        <v>9.6911262295081979</v>
      </c>
      <c r="O87" s="9">
        <v>0.25</v>
      </c>
      <c r="P87" s="8">
        <f>(((1-O87)*C87)/1.23)*F87+D87+N87</f>
        <v>60.776492083166737</v>
      </c>
      <c r="Q87" s="36">
        <f>(M87/1.22-P87)/(M87/1.22)</f>
        <v>0.11712879262596208</v>
      </c>
    </row>
    <row r="88" spans="2:17" ht="15.75" x14ac:dyDescent="0.25">
      <c r="B88" s="123"/>
      <c r="C88" s="34">
        <v>769</v>
      </c>
      <c r="D88" s="2">
        <v>15</v>
      </c>
      <c r="E88" s="2">
        <v>1</v>
      </c>
      <c r="F88" s="2">
        <v>0.22</v>
      </c>
      <c r="G88" s="2">
        <v>1</v>
      </c>
      <c r="H88" s="2">
        <v>0</v>
      </c>
      <c r="I88" s="2">
        <v>1</v>
      </c>
      <c r="J88" s="2">
        <v>0</v>
      </c>
      <c r="K88" s="6">
        <v>0.18</v>
      </c>
      <c r="L88" s="2">
        <v>27</v>
      </c>
      <c r="M88" s="7">
        <f>(C88+H88)*E88*F88*G88*I88+J88+L88</f>
        <v>196.18</v>
      </c>
      <c r="N88" s="8">
        <f>((M88/1.22)-L88)*0.18</f>
        <v>24.084590163934426</v>
      </c>
      <c r="O88" s="9">
        <v>0.25</v>
      </c>
      <c r="P88" s="8">
        <f>(((1-O88)*C88)/1.23)*F88+D88+N88</f>
        <v>142.2431267493003</v>
      </c>
      <c r="Q88" s="36">
        <f>(M88/1.22-P88)/(M88/1.22)</f>
        <v>0.11542147704074639</v>
      </c>
    </row>
    <row r="89" spans="2:17" ht="16.5" thickBot="1" x14ac:dyDescent="0.3">
      <c r="B89" s="124"/>
      <c r="C89" s="34">
        <v>1999</v>
      </c>
      <c r="D89" s="2">
        <v>15</v>
      </c>
      <c r="E89" s="2">
        <v>0.99</v>
      </c>
      <c r="F89" s="2">
        <v>0.22</v>
      </c>
      <c r="G89" s="2">
        <v>1</v>
      </c>
      <c r="H89" s="2">
        <v>0</v>
      </c>
      <c r="I89" s="2">
        <v>1</v>
      </c>
      <c r="J89" s="2">
        <v>0</v>
      </c>
      <c r="K89" s="6">
        <v>0.18</v>
      </c>
      <c r="L89" s="2">
        <v>39</v>
      </c>
      <c r="M89" s="7">
        <f>(C89+H89)*E89*F89*G89*I89+J89+L89</f>
        <v>474.38220000000001</v>
      </c>
      <c r="N89" s="8">
        <f>((M89/1.22)-L89)*0.18</f>
        <v>62.970816393442625</v>
      </c>
      <c r="O89" s="9">
        <v>0.25</v>
      </c>
      <c r="P89" s="8">
        <f>(((1-O89)*C89)/1.23)*F89+D89+N89</f>
        <v>346.12935297880853</v>
      </c>
      <c r="Q89" s="36">
        <f>(M89/1.22-P89)/(M89/1.22)</f>
        <v>0.10983630786706086</v>
      </c>
    </row>
    <row r="91" spans="2:17" ht="15.75" thickBot="1" x14ac:dyDescent="0.3"/>
    <row r="92" spans="2:17" ht="18.75" x14ac:dyDescent="0.3">
      <c r="B92" s="122" t="s">
        <v>23</v>
      </c>
      <c r="C92" s="131" t="s">
        <v>16</v>
      </c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3"/>
    </row>
    <row r="93" spans="2:17" x14ac:dyDescent="0.25">
      <c r="B93" s="123"/>
      <c r="C93" s="1" t="s">
        <v>1</v>
      </c>
      <c r="D93" s="2" t="s">
        <v>2</v>
      </c>
      <c r="E93" s="2" t="s">
        <v>3</v>
      </c>
      <c r="F93" s="2" t="s">
        <v>4</v>
      </c>
      <c r="G93" s="2" t="s">
        <v>5</v>
      </c>
      <c r="H93" s="2" t="s">
        <v>6</v>
      </c>
      <c r="I93" s="2" t="s">
        <v>7</v>
      </c>
      <c r="J93" s="2" t="s">
        <v>8</v>
      </c>
      <c r="K93" s="2" t="s">
        <v>9</v>
      </c>
      <c r="L93" s="2" t="s">
        <v>10</v>
      </c>
      <c r="M93" s="2" t="s">
        <v>11</v>
      </c>
      <c r="N93" s="2" t="s">
        <v>12</v>
      </c>
      <c r="O93" s="2" t="s">
        <v>13</v>
      </c>
      <c r="P93" s="2" t="s">
        <v>14</v>
      </c>
      <c r="Q93" s="3" t="s">
        <v>15</v>
      </c>
    </row>
    <row r="94" spans="2:17" ht="15.75" x14ac:dyDescent="0.25">
      <c r="B94" s="123"/>
      <c r="C94" s="34">
        <v>8.94</v>
      </c>
      <c r="D94" s="2">
        <v>15</v>
      </c>
      <c r="E94" s="2">
        <v>1.69</v>
      </c>
      <c r="F94" s="2">
        <v>0.22</v>
      </c>
      <c r="G94" s="2">
        <v>1.23</v>
      </c>
      <c r="H94" s="2">
        <v>30</v>
      </c>
      <c r="I94" s="2">
        <v>1</v>
      </c>
      <c r="J94" s="2">
        <v>0</v>
      </c>
      <c r="K94" s="6">
        <v>0.18</v>
      </c>
      <c r="L94" s="2">
        <v>9</v>
      </c>
      <c r="M94" s="7">
        <f>(C94+H94)*E94*F94*G94*I94+J94+L94</f>
        <v>26.807807159999999</v>
      </c>
      <c r="N94" s="8">
        <f>((M94/1.22)-L94)*0.18</f>
        <v>2.3352502367213113</v>
      </c>
      <c r="O94" s="9">
        <v>0</v>
      </c>
      <c r="P94" s="8">
        <f>(1-O94)*C94*F94+D94+N94</f>
        <v>19.30205023672131</v>
      </c>
      <c r="Q94" s="36">
        <f>(M94/1.22-P94)/(M94/1.22)</f>
        <v>0.12158047287296291</v>
      </c>
    </row>
    <row r="95" spans="2:17" ht="15.75" x14ac:dyDescent="0.25">
      <c r="B95" s="123"/>
      <c r="C95" s="34">
        <v>28.14</v>
      </c>
      <c r="D95" s="2">
        <v>15</v>
      </c>
      <c r="E95" s="2">
        <v>1.59</v>
      </c>
      <c r="F95" s="2">
        <v>0.22</v>
      </c>
      <c r="G95" s="2">
        <v>1.23</v>
      </c>
      <c r="H95" s="2">
        <v>30</v>
      </c>
      <c r="I95" s="2">
        <v>1</v>
      </c>
      <c r="J95" s="2">
        <v>0</v>
      </c>
      <c r="K95" s="6">
        <v>0.18</v>
      </c>
      <c r="L95" s="2">
        <v>9</v>
      </c>
      <c r="M95" s="7">
        <f>(C95+H95)*E95*F95*G95*I95+J95+L95</f>
        <v>34.014967560000002</v>
      </c>
      <c r="N95" s="8">
        <f>((M95/1.22)-L95)*0.18</f>
        <v>3.3986017711475411</v>
      </c>
      <c r="O95" s="9">
        <v>0</v>
      </c>
      <c r="P95" s="8">
        <f>(1-O95)*C95*F95+D95+N95</f>
        <v>24.589401771147539</v>
      </c>
      <c r="Q95" s="36">
        <f>(M95/1.22-P95)/(M95/1.22)</f>
        <v>0.11806265556820672</v>
      </c>
    </row>
    <row r="96" spans="2:17" ht="15.75" x14ac:dyDescent="0.25">
      <c r="B96" s="123"/>
      <c r="C96" s="34">
        <v>51.6</v>
      </c>
      <c r="D96" s="2">
        <v>15</v>
      </c>
      <c r="E96" s="2">
        <v>1.53</v>
      </c>
      <c r="F96" s="2">
        <v>0.22</v>
      </c>
      <c r="G96" s="2">
        <v>1.23</v>
      </c>
      <c r="H96" s="2">
        <v>30</v>
      </c>
      <c r="I96" s="2">
        <v>1</v>
      </c>
      <c r="J96" s="2">
        <v>0</v>
      </c>
      <c r="K96" s="6">
        <v>0.18</v>
      </c>
      <c r="L96" s="2">
        <v>9</v>
      </c>
      <c r="M96" s="7">
        <f>(C96+H96)*E96*F96*G96*I96+J96+L96</f>
        <v>42.7838688</v>
      </c>
      <c r="N96" s="8">
        <f>((M96/1.22)-L96)*0.18</f>
        <v>4.692374085245901</v>
      </c>
      <c r="O96" s="9">
        <v>0</v>
      </c>
      <c r="P96" s="8">
        <f>(1-O96)*C96*F96+D96+N96</f>
        <v>31.044374085245902</v>
      </c>
      <c r="Q96" s="36">
        <f>(M96/1.22-P96)/(M96/1.22)</f>
        <v>0.11475662565606963</v>
      </c>
    </row>
    <row r="97" spans="2:17" ht="15.75" x14ac:dyDescent="0.25">
      <c r="B97" s="123"/>
      <c r="C97" s="34">
        <v>65.64</v>
      </c>
      <c r="D97" s="2">
        <v>15</v>
      </c>
      <c r="E97" s="2">
        <v>1.5</v>
      </c>
      <c r="F97" s="2">
        <v>0.22</v>
      </c>
      <c r="G97" s="2">
        <v>1.23</v>
      </c>
      <c r="H97" s="2">
        <v>30</v>
      </c>
      <c r="I97" s="2">
        <v>1</v>
      </c>
      <c r="J97" s="2">
        <v>0</v>
      </c>
      <c r="K97" s="6">
        <v>0.18</v>
      </c>
      <c r="L97" s="2">
        <v>9</v>
      </c>
      <c r="M97" s="7">
        <f>(C97+H97)*E97*F97*G97*I97+J97+L97</f>
        <v>47.820276</v>
      </c>
      <c r="N97" s="8">
        <f>((M97/1.22)-L97)*0.18</f>
        <v>5.4354505573770489</v>
      </c>
      <c r="O97" s="9">
        <v>0</v>
      </c>
      <c r="P97" s="8">
        <f>(1-O97)*C97*F97+D97+N97</f>
        <v>34.876250557377048</v>
      </c>
      <c r="Q97" s="36">
        <f>(M97/1.22-P97)/(M97/1.22)</f>
        <v>0.11023044534498301</v>
      </c>
    </row>
    <row r="98" spans="2:17" ht="15.75" x14ac:dyDescent="0.25">
      <c r="B98" s="123"/>
      <c r="C98" s="34">
        <v>139.15</v>
      </c>
      <c r="D98" s="2">
        <v>15</v>
      </c>
      <c r="E98" s="2">
        <v>1.45</v>
      </c>
      <c r="F98" s="2">
        <v>0.22</v>
      </c>
      <c r="G98" s="2">
        <v>1.23</v>
      </c>
      <c r="H98" s="2">
        <v>30</v>
      </c>
      <c r="I98" s="2">
        <v>1</v>
      </c>
      <c r="J98" s="2">
        <v>0</v>
      </c>
      <c r="K98" s="6">
        <v>0.18</v>
      </c>
      <c r="L98" s="2">
        <v>9</v>
      </c>
      <c r="M98" s="7">
        <f>(C98+H98)*E98*F98*G98*I98+J98+L98</f>
        <v>75.369385500000007</v>
      </c>
      <c r="N98" s="8">
        <f>((M98/1.22)-L98)*0.18</f>
        <v>9.5000732704918054</v>
      </c>
      <c r="O98" s="9">
        <v>0</v>
      </c>
      <c r="P98" s="8">
        <f>(1-O98)*C98*F98+D98+N98</f>
        <v>55.113073270491803</v>
      </c>
      <c r="Q98" s="36">
        <f>(M98/1.22-P98)/(M98/1.22)</f>
        <v>0.1078877856845471</v>
      </c>
    </row>
    <row r="99" spans="2:17" x14ac:dyDescent="0.25">
      <c r="B99" s="123"/>
      <c r="Q99" s="18"/>
    </row>
    <row r="100" spans="2:17" x14ac:dyDescent="0.25">
      <c r="B100" s="123"/>
      <c r="Q100" s="18"/>
    </row>
    <row r="101" spans="2:17" ht="18.75" x14ac:dyDescent="0.3">
      <c r="B101" s="123"/>
      <c r="C101" s="134" t="s">
        <v>17</v>
      </c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6"/>
    </row>
    <row r="102" spans="2:17" x14ac:dyDescent="0.25">
      <c r="B102" s="123"/>
      <c r="C102" s="1" t="s">
        <v>1</v>
      </c>
      <c r="D102" s="2" t="s">
        <v>2</v>
      </c>
      <c r="E102" s="2" t="s">
        <v>3</v>
      </c>
      <c r="F102" s="2" t="s">
        <v>4</v>
      </c>
      <c r="G102" s="2" t="s">
        <v>5</v>
      </c>
      <c r="H102" s="2" t="s">
        <v>6</v>
      </c>
      <c r="I102" s="2" t="s">
        <v>7</v>
      </c>
      <c r="J102" s="2" t="s">
        <v>8</v>
      </c>
      <c r="K102" s="2" t="s">
        <v>9</v>
      </c>
      <c r="L102" s="2" t="s">
        <v>10</v>
      </c>
      <c r="M102" s="2" t="s">
        <v>11</v>
      </c>
      <c r="N102" s="2" t="s">
        <v>12</v>
      </c>
      <c r="O102" s="2" t="s">
        <v>13</v>
      </c>
      <c r="P102" s="2" t="s">
        <v>14</v>
      </c>
      <c r="Q102" s="3" t="s">
        <v>15</v>
      </c>
    </row>
    <row r="103" spans="2:17" ht="15.75" x14ac:dyDescent="0.25">
      <c r="B103" s="123"/>
      <c r="C103" s="34">
        <v>8.94</v>
      </c>
      <c r="D103" s="2">
        <v>15</v>
      </c>
      <c r="E103" s="2">
        <v>2.0699999999999998</v>
      </c>
      <c r="F103" s="2">
        <v>0.22</v>
      </c>
      <c r="G103" s="2">
        <v>1.23</v>
      </c>
      <c r="H103" s="2">
        <v>30</v>
      </c>
      <c r="I103" s="2">
        <v>1</v>
      </c>
      <c r="J103" s="2">
        <v>0</v>
      </c>
      <c r="K103" s="6">
        <v>0.18</v>
      </c>
      <c r="L103" s="2">
        <v>6</v>
      </c>
      <c r="M103" s="7">
        <f>(C103+H103)*E103*F103*G103*I103+J103+L103</f>
        <v>27.811929479999996</v>
      </c>
      <c r="N103" s="8">
        <f>((M103/1.22)-L103)*0.18</f>
        <v>3.0233994314754091</v>
      </c>
      <c r="O103" s="9">
        <v>0</v>
      </c>
      <c r="P103" s="8">
        <f>(1-O103)*C103*F103+D103+N103</f>
        <v>19.990199431475407</v>
      </c>
      <c r="Q103" s="36">
        <f>(M103/1.22-P103)/(M103/1.22)</f>
        <v>0.12310854506021138</v>
      </c>
    </row>
    <row r="104" spans="2:17" ht="15.75" x14ac:dyDescent="0.25">
      <c r="B104" s="123"/>
      <c r="C104" s="34">
        <v>28.14</v>
      </c>
      <c r="D104" s="2">
        <v>15</v>
      </c>
      <c r="E104" s="2">
        <v>1.85</v>
      </c>
      <c r="F104" s="2">
        <v>0.22</v>
      </c>
      <c r="G104" s="2">
        <v>1.23</v>
      </c>
      <c r="H104" s="2">
        <v>30</v>
      </c>
      <c r="I104" s="2">
        <v>1</v>
      </c>
      <c r="J104" s="2">
        <v>0</v>
      </c>
      <c r="K104" s="6">
        <v>0.18</v>
      </c>
      <c r="L104" s="2">
        <v>6</v>
      </c>
      <c r="M104" s="7">
        <f>(C104+H104)*E104*F104*G104*I104+J104+L104</f>
        <v>35.1054654</v>
      </c>
      <c r="N104" s="8">
        <f>((M104/1.22)-L104)*0.18</f>
        <v>4.0994948950819667</v>
      </c>
      <c r="O104" s="9">
        <v>0</v>
      </c>
      <c r="P104" s="8">
        <f>(1-O104)*C104*F104+D104+N104</f>
        <v>25.290294895081967</v>
      </c>
      <c r="Q104" s="36">
        <f>(M104/1.22-P104)/(M104/1.22)</f>
        <v>0.12110096190321407</v>
      </c>
    </row>
    <row r="105" spans="2:17" ht="15.75" x14ac:dyDescent="0.25">
      <c r="B105" s="123"/>
      <c r="C105" s="34">
        <v>51.6</v>
      </c>
      <c r="D105" s="2">
        <v>15</v>
      </c>
      <c r="E105" s="2">
        <v>1.72</v>
      </c>
      <c r="F105" s="2">
        <v>0.22</v>
      </c>
      <c r="G105" s="2">
        <v>1.23</v>
      </c>
      <c r="H105" s="2">
        <v>30</v>
      </c>
      <c r="I105" s="2">
        <v>1</v>
      </c>
      <c r="J105" s="2">
        <v>0</v>
      </c>
      <c r="K105" s="6">
        <v>0.18</v>
      </c>
      <c r="L105" s="2">
        <v>6</v>
      </c>
      <c r="M105" s="7">
        <f>(C105+H105)*E105*F105*G105*I105+J105+L105</f>
        <v>43.979251199999993</v>
      </c>
      <c r="N105" s="8">
        <f>((M105/1.22)-L105)*0.18</f>
        <v>5.4087419803278678</v>
      </c>
      <c r="O105" s="9">
        <v>0</v>
      </c>
      <c r="P105" s="8">
        <f>(1-O105)*C105*F105+D105+N105</f>
        <v>31.760741980327868</v>
      </c>
      <c r="Q105" s="36">
        <f>(M105/1.22-P105)/(M105/1.22)</f>
        <v>0.11894577195529865</v>
      </c>
    </row>
    <row r="106" spans="2:17" ht="15.75" x14ac:dyDescent="0.25">
      <c r="B106" s="123"/>
      <c r="C106" s="34">
        <v>65.64</v>
      </c>
      <c r="D106" s="2">
        <v>15</v>
      </c>
      <c r="E106" s="2">
        <v>1.6</v>
      </c>
      <c r="F106" s="2">
        <v>0.22</v>
      </c>
      <c r="G106" s="2">
        <v>1.23</v>
      </c>
      <c r="H106" s="2">
        <v>30</v>
      </c>
      <c r="I106" s="2">
        <v>1</v>
      </c>
      <c r="J106" s="2">
        <v>0</v>
      </c>
      <c r="K106" s="6">
        <v>0.18</v>
      </c>
      <c r="L106" s="2">
        <v>7</v>
      </c>
      <c r="M106" s="7">
        <f>(C106+H106)*E106*F106*G106*I106+J106+L106</f>
        <v>48.408294400000003</v>
      </c>
      <c r="N106" s="8">
        <f>((M106/1.22)-L106)*0.18</f>
        <v>5.8822073704918036</v>
      </c>
      <c r="O106" s="9">
        <v>0</v>
      </c>
      <c r="P106" s="8">
        <f>(1-O106)*C106*F106+D106+N106</f>
        <v>35.323007370491801</v>
      </c>
      <c r="Q106" s="36">
        <f>(M106/1.22-P106)/(M106/1.22)</f>
        <v>0.10977923254408251</v>
      </c>
    </row>
    <row r="107" spans="2:17" ht="16.5" thickBot="1" x14ac:dyDescent="0.3">
      <c r="B107" s="124"/>
      <c r="C107" s="34">
        <v>139.15</v>
      </c>
      <c r="D107" s="2">
        <v>15</v>
      </c>
      <c r="E107" s="2">
        <v>1.42</v>
      </c>
      <c r="F107" s="2">
        <v>0.22</v>
      </c>
      <c r="G107" s="2">
        <v>1.23</v>
      </c>
      <c r="H107" s="2">
        <v>30</v>
      </c>
      <c r="I107" s="2">
        <v>1</v>
      </c>
      <c r="J107" s="2">
        <v>0</v>
      </c>
      <c r="K107" s="6">
        <v>0.18</v>
      </c>
      <c r="L107" s="2">
        <v>10</v>
      </c>
      <c r="M107" s="7">
        <f>(C107+H107)*E107*F107*G107*I107+J107+L107</f>
        <v>74.996225799999991</v>
      </c>
      <c r="N107" s="8">
        <f>((M107/1.22)-L107)*0.18</f>
        <v>9.2650169213114726</v>
      </c>
      <c r="O107" s="9">
        <v>0</v>
      </c>
      <c r="P107" s="8">
        <f>(1-O107)*C107*F107+D107+N107</f>
        <v>54.87801692131147</v>
      </c>
      <c r="Q107" s="36">
        <f>(M107/1.22-P107)/(M107/1.22)</f>
        <v>0.10727266699333017</v>
      </c>
    </row>
    <row r="109" spans="2:17" ht="15.75" thickBot="1" x14ac:dyDescent="0.3"/>
    <row r="110" spans="2:17" ht="18.75" x14ac:dyDescent="0.3">
      <c r="B110" s="122" t="s">
        <v>24</v>
      </c>
      <c r="C110" s="131" t="s">
        <v>16</v>
      </c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3"/>
    </row>
    <row r="111" spans="2:17" x14ac:dyDescent="0.25">
      <c r="B111" s="123"/>
      <c r="C111" s="1" t="s">
        <v>1</v>
      </c>
      <c r="D111" s="2" t="s">
        <v>2</v>
      </c>
      <c r="E111" s="2" t="s">
        <v>3</v>
      </c>
      <c r="F111" s="2" t="s">
        <v>4</v>
      </c>
      <c r="G111" s="2" t="s">
        <v>5</v>
      </c>
      <c r="H111" s="2" t="s">
        <v>6</v>
      </c>
      <c r="I111" s="2" t="s">
        <v>7</v>
      </c>
      <c r="J111" s="2" t="s">
        <v>8</v>
      </c>
      <c r="K111" s="2" t="s">
        <v>9</v>
      </c>
      <c r="L111" s="2" t="s">
        <v>10</v>
      </c>
      <c r="M111" s="2" t="s">
        <v>11</v>
      </c>
      <c r="N111" s="2" t="s">
        <v>12</v>
      </c>
      <c r="O111" s="2" t="s">
        <v>13</v>
      </c>
      <c r="P111" s="2" t="s">
        <v>14</v>
      </c>
      <c r="Q111" s="3" t="s">
        <v>15</v>
      </c>
    </row>
    <row r="112" spans="2:17" ht="15.75" x14ac:dyDescent="0.25">
      <c r="B112" s="123"/>
      <c r="C112" s="34">
        <v>20</v>
      </c>
      <c r="D112" s="2">
        <v>15</v>
      </c>
      <c r="E112" s="2">
        <v>1.3</v>
      </c>
      <c r="F112" s="2">
        <v>0.22</v>
      </c>
      <c r="G112" s="2">
        <v>1.23</v>
      </c>
      <c r="H112" s="2">
        <v>21</v>
      </c>
      <c r="I112" s="2">
        <v>1</v>
      </c>
      <c r="J112" s="2">
        <v>0</v>
      </c>
      <c r="K112" s="6">
        <v>0.18</v>
      </c>
      <c r="L112" s="2">
        <v>9</v>
      </c>
      <c r="M112" s="7">
        <f>(C112+H112)*E112*F112*G112*I112+J112+L112</f>
        <v>23.422980000000003</v>
      </c>
      <c r="N112" s="8">
        <f>((M112/1.22)-L112)*0.18</f>
        <v>1.8358495081967214</v>
      </c>
      <c r="O112" s="9">
        <v>0</v>
      </c>
      <c r="P112" s="8">
        <f>(1-O112)*C112*F112+D112+N112</f>
        <v>21.235849508196718</v>
      </c>
      <c r="Q112" s="36">
        <f>(M112/1.22-P112)/(M112/1.22)</f>
        <v>-0.10608199298295923</v>
      </c>
    </row>
    <row r="113" spans="2:17" ht="15.75" x14ac:dyDescent="0.25">
      <c r="B113" s="123"/>
      <c r="C113" s="34">
        <v>35</v>
      </c>
      <c r="D113" s="2">
        <v>15</v>
      </c>
      <c r="E113" s="2">
        <v>1.31</v>
      </c>
      <c r="F113" s="2">
        <v>0.22</v>
      </c>
      <c r="G113" s="2">
        <v>1.23</v>
      </c>
      <c r="H113" s="2">
        <v>21</v>
      </c>
      <c r="I113" s="2">
        <v>1</v>
      </c>
      <c r="J113" s="2">
        <v>0</v>
      </c>
      <c r="K113" s="6">
        <v>0.18</v>
      </c>
      <c r="L113" s="2">
        <v>9</v>
      </c>
      <c r="M113" s="7">
        <f>(C113+H113)*E113*F113*G113*I113+J113+L113</f>
        <v>28.851215999999997</v>
      </c>
      <c r="N113" s="8">
        <f>((M113/1.22)-L113)*0.18</f>
        <v>2.6367367868852454</v>
      </c>
      <c r="O113" s="9">
        <v>0</v>
      </c>
      <c r="P113" s="8">
        <f>(1-O113)*C113*F113+D113+N113</f>
        <v>25.336736786885243</v>
      </c>
      <c r="Q113" s="36">
        <f>(M113/1.22-P113)/(M113/1.22)</f>
        <v>-7.1387038937977501E-2</v>
      </c>
    </row>
    <row r="114" spans="2:17" ht="15.75" x14ac:dyDescent="0.25">
      <c r="B114" s="123"/>
      <c r="C114" s="34">
        <v>70</v>
      </c>
      <c r="D114" s="2">
        <v>15</v>
      </c>
      <c r="E114" s="2">
        <v>1.333</v>
      </c>
      <c r="F114" s="2">
        <v>0.22</v>
      </c>
      <c r="G114" s="2">
        <v>1.23</v>
      </c>
      <c r="H114" s="2">
        <v>21</v>
      </c>
      <c r="I114" s="2">
        <v>1</v>
      </c>
      <c r="J114" s="2">
        <v>0</v>
      </c>
      <c r="K114" s="6">
        <v>0.18</v>
      </c>
      <c r="L114" s="2">
        <v>9</v>
      </c>
      <c r="M114" s="7">
        <f>(C114+H114)*E114*F114*G114*I114+J114+L114</f>
        <v>41.8245918</v>
      </c>
      <c r="N114" s="8">
        <f>((M114/1.22)-L114)*0.18</f>
        <v>4.5508414131147541</v>
      </c>
      <c r="O114" s="9">
        <v>0</v>
      </c>
      <c r="P114" s="8">
        <f>(1-O114)*C114*F114+D114+N114</f>
        <v>34.950841413114752</v>
      </c>
      <c r="Q114" s="36">
        <f>(M114/1.22-P114)/(M114/1.22)</f>
        <v>-1.9496537537038137E-2</v>
      </c>
    </row>
    <row r="115" spans="2:17" ht="15.75" x14ac:dyDescent="0.25">
      <c r="B115" s="123"/>
      <c r="C115" s="34">
        <v>130</v>
      </c>
      <c r="D115" s="2">
        <v>15</v>
      </c>
      <c r="E115" s="2">
        <v>1.34</v>
      </c>
      <c r="F115" s="2">
        <v>0.22</v>
      </c>
      <c r="G115" s="2">
        <v>1.23</v>
      </c>
      <c r="H115" s="2">
        <v>21</v>
      </c>
      <c r="I115" s="2">
        <v>1</v>
      </c>
      <c r="J115" s="2">
        <v>0</v>
      </c>
      <c r="K115" s="6">
        <v>0.18</v>
      </c>
      <c r="L115" s="2">
        <v>9</v>
      </c>
      <c r="M115" s="7">
        <f>(C115+H115)*E115*F115*G115*I115+J115+L115</f>
        <v>63.753204000000004</v>
      </c>
      <c r="N115" s="8">
        <f>((M115/1.22)-L115)*0.18</f>
        <v>7.7862104262295091</v>
      </c>
      <c r="O115" s="9">
        <v>0</v>
      </c>
      <c r="P115" s="8">
        <f>(1-O115)*C115*F115+D115+N115</f>
        <v>51.386210426229511</v>
      </c>
      <c r="Q115" s="36">
        <f>(M115/1.22-P115)/(M115/1.22)</f>
        <v>1.6658414218679973E-2</v>
      </c>
    </row>
    <row r="116" spans="2:17" ht="15.75" x14ac:dyDescent="0.25">
      <c r="B116" s="123"/>
      <c r="C116" s="34">
        <v>140</v>
      </c>
      <c r="D116" s="2">
        <v>15</v>
      </c>
      <c r="E116" s="2">
        <v>1.33</v>
      </c>
      <c r="F116" s="2">
        <v>0.22</v>
      </c>
      <c r="G116" s="2">
        <v>1.23</v>
      </c>
      <c r="H116" s="2">
        <v>21</v>
      </c>
      <c r="I116" s="2">
        <v>1</v>
      </c>
      <c r="J116" s="2">
        <v>0</v>
      </c>
      <c r="K116" s="6">
        <v>0.18</v>
      </c>
      <c r="L116" s="2">
        <v>9</v>
      </c>
      <c r="M116" s="7">
        <f>(C116+H116)*E116*F116*G116*I116+J116+L116</f>
        <v>66.943578000000002</v>
      </c>
      <c r="N116" s="8">
        <f>((M116/1.22)-L116)*0.18</f>
        <v>8.2569213442622953</v>
      </c>
      <c r="O116" s="9">
        <v>0</v>
      </c>
      <c r="P116" s="8">
        <f>(1-O116)*C116*F116+D116+N116</f>
        <v>54.056921344262292</v>
      </c>
      <c r="Q116" s="36">
        <f>(M116/1.22-P116)/(M116/1.22)</f>
        <v>1.4850326046211716E-2</v>
      </c>
    </row>
    <row r="117" spans="2:17" x14ac:dyDescent="0.25">
      <c r="B117" s="123"/>
      <c r="Q117" s="18"/>
    </row>
    <row r="118" spans="2:17" x14ac:dyDescent="0.25">
      <c r="B118" s="123"/>
      <c r="Q118" s="18"/>
    </row>
    <row r="119" spans="2:17" ht="18.75" x14ac:dyDescent="0.3">
      <c r="B119" s="123"/>
      <c r="C119" s="134" t="s">
        <v>17</v>
      </c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6"/>
    </row>
    <row r="120" spans="2:17" x14ac:dyDescent="0.25">
      <c r="B120" s="123"/>
      <c r="C120" s="1" t="s">
        <v>1</v>
      </c>
      <c r="D120" s="2" t="s">
        <v>2</v>
      </c>
      <c r="E120" s="2" t="s">
        <v>3</v>
      </c>
      <c r="F120" s="2" t="s">
        <v>4</v>
      </c>
      <c r="G120" s="2" t="s">
        <v>5</v>
      </c>
      <c r="H120" s="2" t="s">
        <v>6</v>
      </c>
      <c r="I120" s="2" t="s">
        <v>7</v>
      </c>
      <c r="J120" s="2" t="s">
        <v>8</v>
      </c>
      <c r="K120" s="2" t="s">
        <v>9</v>
      </c>
      <c r="L120" s="2" t="s">
        <v>10</v>
      </c>
      <c r="M120" s="2" t="s">
        <v>11</v>
      </c>
      <c r="N120" s="2" t="s">
        <v>12</v>
      </c>
      <c r="O120" s="2" t="s">
        <v>13</v>
      </c>
      <c r="P120" s="2" t="s">
        <v>14</v>
      </c>
      <c r="Q120" s="3" t="s">
        <v>15</v>
      </c>
    </row>
    <row r="121" spans="2:17" ht="15.75" x14ac:dyDescent="0.25">
      <c r="B121" s="123"/>
      <c r="C121" s="34">
        <v>20</v>
      </c>
      <c r="D121" s="2">
        <v>15</v>
      </c>
      <c r="E121" s="2">
        <v>1.54</v>
      </c>
      <c r="F121" s="2">
        <v>0.22</v>
      </c>
      <c r="G121" s="2">
        <v>1.23</v>
      </c>
      <c r="H121" s="2">
        <v>40</v>
      </c>
      <c r="I121" s="2">
        <v>1</v>
      </c>
      <c r="J121" s="2">
        <v>0</v>
      </c>
      <c r="K121" s="6">
        <v>0.18</v>
      </c>
      <c r="L121" s="2">
        <v>6</v>
      </c>
      <c r="M121" s="7">
        <f>(C121+H121)*E121*F121*G121*I121+J121+L121</f>
        <v>31.003440000000005</v>
      </c>
      <c r="N121" s="8">
        <f>((M121/1.22)-L121)*0.18</f>
        <v>3.4942780327868861</v>
      </c>
      <c r="O121" s="9">
        <v>0</v>
      </c>
      <c r="P121" s="8">
        <f>(1-O121)*C121*F121+D121+N121</f>
        <v>22.894278032786886</v>
      </c>
      <c r="Q121" s="36">
        <f>(M121/1.22-P121)/(M121/1.22)</f>
        <v>9.9099351555827525E-2</v>
      </c>
    </row>
    <row r="122" spans="2:17" ht="15.75" x14ac:dyDescent="0.25">
      <c r="B122" s="123"/>
      <c r="C122" s="34">
        <v>35</v>
      </c>
      <c r="D122" s="2">
        <v>15</v>
      </c>
      <c r="E122" s="2">
        <v>1.49</v>
      </c>
      <c r="F122" s="2">
        <v>0.22</v>
      </c>
      <c r="G122" s="2">
        <v>1.23</v>
      </c>
      <c r="H122" s="2">
        <v>40</v>
      </c>
      <c r="I122" s="2">
        <v>1</v>
      </c>
      <c r="J122" s="2">
        <v>0</v>
      </c>
      <c r="K122" s="6">
        <v>0.18</v>
      </c>
      <c r="L122" s="2">
        <v>6</v>
      </c>
      <c r="M122" s="7">
        <f>(C122+H122)*E122*F122*G122*I122+J122+L122</f>
        <v>36.239550000000001</v>
      </c>
      <c r="N122" s="8">
        <f>((M122/1.22)-L122)*0.18</f>
        <v>4.266818852459016</v>
      </c>
      <c r="O122" s="9">
        <v>0</v>
      </c>
      <c r="P122" s="8">
        <f>(1-O122)*C122*F122+D122+N122</f>
        <v>26.966818852459014</v>
      </c>
      <c r="Q122" s="36">
        <f>(M122/1.22-P122)/(M122/1.22)</f>
        <v>9.2165355254135467E-2</v>
      </c>
    </row>
    <row r="123" spans="2:17" ht="15.75" x14ac:dyDescent="0.25">
      <c r="B123" s="123"/>
      <c r="C123" s="34">
        <v>70</v>
      </c>
      <c r="D123" s="2">
        <v>15</v>
      </c>
      <c r="E123" s="2">
        <v>1.37</v>
      </c>
      <c r="F123" s="2">
        <v>0.22</v>
      </c>
      <c r="G123" s="2">
        <v>1.23</v>
      </c>
      <c r="H123" s="2">
        <v>40</v>
      </c>
      <c r="I123" s="2">
        <v>1</v>
      </c>
      <c r="J123" s="2">
        <v>0</v>
      </c>
      <c r="K123" s="6">
        <v>0.18</v>
      </c>
      <c r="L123" s="2">
        <v>10</v>
      </c>
      <c r="M123" s="7">
        <f>(C123+H123)*E123*F123*G123*I123+J123+L123</f>
        <v>50.779420000000002</v>
      </c>
      <c r="N123" s="8">
        <f>((M123/1.22)-L123)*0.18</f>
        <v>5.6920455737704927</v>
      </c>
      <c r="O123" s="9">
        <v>0</v>
      </c>
      <c r="P123" s="8">
        <f>(1-O123)*C123*F123+D123+N123</f>
        <v>36.092045573770491</v>
      </c>
      <c r="Q123" s="36">
        <f>(M123/1.22-P123)/(M123/1.22)</f>
        <v>0.13287123799365974</v>
      </c>
    </row>
    <row r="124" spans="2:17" ht="15.75" x14ac:dyDescent="0.25">
      <c r="B124" s="123"/>
      <c r="C124" s="34">
        <v>130</v>
      </c>
      <c r="D124" s="2">
        <v>15</v>
      </c>
      <c r="E124" s="2">
        <v>1.29</v>
      </c>
      <c r="F124" s="2">
        <v>0.22</v>
      </c>
      <c r="G124" s="2">
        <v>1.23</v>
      </c>
      <c r="H124" s="2">
        <v>40</v>
      </c>
      <c r="I124" s="2">
        <v>1</v>
      </c>
      <c r="J124" s="2">
        <v>0</v>
      </c>
      <c r="K124" s="6">
        <v>0.18</v>
      </c>
      <c r="L124" s="2">
        <v>10</v>
      </c>
      <c r="M124" s="7">
        <f>(C124+H124)*E124*F124*G124*I124+J124+L124</f>
        <v>69.342579999999998</v>
      </c>
      <c r="N124" s="8">
        <f>((M124/1.22)-L124)*0.18</f>
        <v>8.4308724590163937</v>
      </c>
      <c r="O124" s="9">
        <v>0</v>
      </c>
      <c r="P124" s="8">
        <f>(1-O124)*C124*F124+D124+N124</f>
        <v>52.030872459016393</v>
      </c>
      <c r="Q124" s="36">
        <f>(M124/1.22-P124)/(M124/1.22)</f>
        <v>8.457884895543262E-2</v>
      </c>
    </row>
    <row r="125" spans="2:17" ht="16.5" thickBot="1" x14ac:dyDescent="0.3">
      <c r="B125" s="124"/>
      <c r="C125" s="34">
        <v>140</v>
      </c>
      <c r="D125" s="2">
        <v>15</v>
      </c>
      <c r="E125" s="2">
        <v>1.29</v>
      </c>
      <c r="F125" s="2">
        <v>0.22</v>
      </c>
      <c r="G125" s="2">
        <v>1.23</v>
      </c>
      <c r="H125" s="2">
        <v>40</v>
      </c>
      <c r="I125" s="2">
        <v>1</v>
      </c>
      <c r="J125" s="2">
        <v>0</v>
      </c>
      <c r="K125" s="6">
        <v>0.18</v>
      </c>
      <c r="L125" s="2">
        <v>10</v>
      </c>
      <c r="M125" s="7">
        <f>(C125+H125)*E125*F125*G125*I125+J125+L125</f>
        <v>72.833320000000001</v>
      </c>
      <c r="N125" s="8">
        <f>((M125/1.22)-L125)*0.18</f>
        <v>8.9458996721311479</v>
      </c>
      <c r="O125" s="9">
        <v>0</v>
      </c>
      <c r="P125" s="8">
        <f>(1-O125)*C125*F125+D125+N125</f>
        <v>54.745899672131145</v>
      </c>
      <c r="Q125" s="36">
        <f>(M125/1.22-P125)/(M125/1.22)</f>
        <v>8.2974693450744832E-2</v>
      </c>
    </row>
    <row r="127" spans="2:17" ht="15.75" thickBot="1" x14ac:dyDescent="0.3"/>
    <row r="128" spans="2:17" ht="18.75" x14ac:dyDescent="0.3">
      <c r="B128" s="122" t="s">
        <v>25</v>
      </c>
      <c r="C128" s="131" t="s">
        <v>16</v>
      </c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3"/>
    </row>
    <row r="129" spans="2:17" x14ac:dyDescent="0.25">
      <c r="B129" s="123"/>
      <c r="C129" s="1" t="s">
        <v>19</v>
      </c>
      <c r="D129" s="2" t="s">
        <v>2</v>
      </c>
      <c r="E129" s="2" t="s">
        <v>3</v>
      </c>
      <c r="F129" s="2" t="s">
        <v>4</v>
      </c>
      <c r="G129" s="2" t="s">
        <v>5</v>
      </c>
      <c r="H129" s="2" t="s">
        <v>6</v>
      </c>
      <c r="I129" s="2" t="s">
        <v>7</v>
      </c>
      <c r="J129" s="2" t="s">
        <v>8</v>
      </c>
      <c r="K129" s="2" t="s">
        <v>9</v>
      </c>
      <c r="L129" s="2" t="s">
        <v>10</v>
      </c>
      <c r="M129" s="2" t="s">
        <v>11</v>
      </c>
      <c r="N129" s="2" t="s">
        <v>12</v>
      </c>
      <c r="O129" s="2" t="s">
        <v>13</v>
      </c>
      <c r="P129" s="2" t="s">
        <v>14</v>
      </c>
      <c r="Q129" s="3" t="s">
        <v>15</v>
      </c>
    </row>
    <row r="130" spans="2:17" ht="15.75" x14ac:dyDescent="0.25">
      <c r="B130" s="123"/>
      <c r="C130" s="34">
        <v>36</v>
      </c>
      <c r="D130" s="2">
        <v>15</v>
      </c>
      <c r="E130" s="2">
        <v>1.33</v>
      </c>
      <c r="F130" s="2">
        <v>0.22</v>
      </c>
      <c r="G130" s="2">
        <v>1</v>
      </c>
      <c r="H130" s="2">
        <v>42</v>
      </c>
      <c r="I130" s="2">
        <v>1</v>
      </c>
      <c r="J130" s="2">
        <v>0</v>
      </c>
      <c r="K130" s="6">
        <v>0.18</v>
      </c>
      <c r="L130" s="2">
        <v>9</v>
      </c>
      <c r="M130" s="7">
        <f>(C130+H130)*E130*F130*G130*I130+J130+L130</f>
        <v>31.822800000000001</v>
      </c>
      <c r="N130" s="8">
        <f>((M130/1.22)-L130)*0.18</f>
        <v>3.0751672131147547</v>
      </c>
      <c r="O130" s="9">
        <v>0.25</v>
      </c>
      <c r="P130" s="8">
        <f>(((1-O130)*C130)/1.23)*F130+D130+N130</f>
        <v>22.904435505797679</v>
      </c>
      <c r="Q130" s="36">
        <f>(M130/1.22-P130)/(M130/1.22)</f>
        <v>0.12190595054259321</v>
      </c>
    </row>
    <row r="131" spans="2:17" ht="15.75" x14ac:dyDescent="0.25">
      <c r="B131" s="123"/>
      <c r="C131" s="34">
        <v>179</v>
      </c>
      <c r="D131" s="2">
        <v>15</v>
      </c>
      <c r="E131" s="2">
        <v>1.1499999999999999</v>
      </c>
      <c r="F131" s="2">
        <v>0.22</v>
      </c>
      <c r="G131" s="2">
        <v>1</v>
      </c>
      <c r="H131" s="2">
        <v>42</v>
      </c>
      <c r="I131" s="2">
        <v>1</v>
      </c>
      <c r="J131" s="2">
        <v>0</v>
      </c>
      <c r="K131" s="6">
        <v>0.18</v>
      </c>
      <c r="L131" s="2">
        <v>9</v>
      </c>
      <c r="M131" s="7">
        <f>(C131+H131)*E131*F131*G131*I131+J131+L131</f>
        <v>64.912999999999997</v>
      </c>
      <c r="N131" s="8">
        <f>((M131/1.22)-L131)*0.18</f>
        <v>7.9573278688524578</v>
      </c>
      <c r="O131" s="9">
        <v>0.25</v>
      </c>
      <c r="P131" s="8">
        <f>(((1-O131)*C131)/1.23)*F131+D131+N131</f>
        <v>46.969522990803682</v>
      </c>
      <c r="Q131" s="36">
        <f>(M131/1.22-P131)/(M131/1.22)</f>
        <v>0.11723663905873249</v>
      </c>
    </row>
    <row r="132" spans="2:17" ht="15.75" x14ac:dyDescent="0.25">
      <c r="B132" s="123"/>
      <c r="C132" s="34">
        <v>269</v>
      </c>
      <c r="D132" s="2">
        <v>15</v>
      </c>
      <c r="E132" s="2">
        <v>1.1200000000000001</v>
      </c>
      <c r="F132" s="2">
        <v>0.22</v>
      </c>
      <c r="G132" s="2">
        <v>1</v>
      </c>
      <c r="H132" s="2">
        <v>42</v>
      </c>
      <c r="I132" s="2">
        <v>1</v>
      </c>
      <c r="J132" s="2">
        <v>0</v>
      </c>
      <c r="K132" s="6">
        <v>0.18</v>
      </c>
      <c r="L132" s="2">
        <v>9</v>
      </c>
      <c r="M132" s="7">
        <f>(C132+H132)*E132*F132*G132*I132+J132+L132</f>
        <v>85.630400000000009</v>
      </c>
      <c r="N132" s="8">
        <f>((M132/1.22)-L132)*0.18</f>
        <v>11.013993442622953</v>
      </c>
      <c r="O132" s="9">
        <v>0.25</v>
      </c>
      <c r="P132" s="8">
        <f>(((1-O132)*C132)/1.23)*F132+D132+N132</f>
        <v>62.099359296281492</v>
      </c>
      <c r="Q132" s="36">
        <f>(M132/1.22-P132)/(M132/1.22)</f>
        <v>0.11525324719418092</v>
      </c>
    </row>
    <row r="133" spans="2:17" ht="15.75" x14ac:dyDescent="0.25">
      <c r="B133" s="123"/>
      <c r="C133" s="34">
        <v>769</v>
      </c>
      <c r="D133" s="2">
        <v>15</v>
      </c>
      <c r="E133" s="2">
        <v>1.06</v>
      </c>
      <c r="F133" s="2">
        <v>0.22</v>
      </c>
      <c r="G133" s="2">
        <v>1</v>
      </c>
      <c r="H133" s="2">
        <v>42</v>
      </c>
      <c r="I133" s="2">
        <v>1</v>
      </c>
      <c r="J133" s="2">
        <v>0</v>
      </c>
      <c r="K133" s="6">
        <v>0.18</v>
      </c>
      <c r="L133" s="2">
        <v>11</v>
      </c>
      <c r="M133" s="7">
        <f>(C133+H133)*E133*F133*G133*I133+J133+L133</f>
        <v>200.12520000000001</v>
      </c>
      <c r="N133" s="8">
        <f>((M133/1.22)-L133)*0.18</f>
        <v>27.546668852459014</v>
      </c>
      <c r="O133" s="9">
        <v>0.25</v>
      </c>
      <c r="P133" s="8">
        <f>(((1-O133)*C133)/1.23)*F133+D133+N133</f>
        <v>145.70520543782487</v>
      </c>
      <c r="Q133" s="36">
        <f>(M133/1.22-P133)/(M133/1.22)</f>
        <v>0.11175428864457677</v>
      </c>
    </row>
    <row r="134" spans="2:17" ht="15.75" x14ac:dyDescent="0.25">
      <c r="B134" s="123"/>
      <c r="C134" s="34">
        <v>1999</v>
      </c>
      <c r="D134" s="2">
        <v>15</v>
      </c>
      <c r="E134" s="2">
        <v>1.05</v>
      </c>
      <c r="F134" s="2">
        <v>0.22</v>
      </c>
      <c r="G134" s="2">
        <v>1</v>
      </c>
      <c r="H134" s="2">
        <v>42</v>
      </c>
      <c r="I134" s="2">
        <v>1</v>
      </c>
      <c r="J134" s="2">
        <v>0</v>
      </c>
      <c r="K134" s="6">
        <v>0.18</v>
      </c>
      <c r="L134" s="2">
        <v>11</v>
      </c>
      <c r="M134" s="7">
        <f>(C134+H134)*E134*F134*G134*I134+J134+L134</f>
        <v>482.47100000000006</v>
      </c>
      <c r="N134" s="8">
        <f>((M134/1.22)-L134)*0.18</f>
        <v>69.204245901639354</v>
      </c>
      <c r="O134" s="9">
        <v>0.25</v>
      </c>
      <c r="P134" s="8">
        <f>(((1-O134)*C134)/1.23)*F134+D134+N134</f>
        <v>352.36278248700523</v>
      </c>
      <c r="Q134" s="36">
        <f>(M134/1.22-P134)/(M134/1.22)</f>
        <v>0.10899806489064356</v>
      </c>
    </row>
    <row r="135" spans="2:17" x14ac:dyDescent="0.25">
      <c r="B135" s="123"/>
      <c r="Q135" s="18"/>
    </row>
    <row r="136" spans="2:17" x14ac:dyDescent="0.25">
      <c r="B136" s="123"/>
      <c r="Q136" s="18"/>
    </row>
    <row r="137" spans="2:17" ht="18.75" x14ac:dyDescent="0.3">
      <c r="B137" s="123"/>
      <c r="C137" s="134" t="s">
        <v>17</v>
      </c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6"/>
    </row>
    <row r="138" spans="2:17" x14ac:dyDescent="0.25">
      <c r="B138" s="123"/>
      <c r="C138" s="1" t="s">
        <v>19</v>
      </c>
      <c r="D138" s="2" t="s">
        <v>2</v>
      </c>
      <c r="E138" s="2" t="s">
        <v>3</v>
      </c>
      <c r="F138" s="2" t="s">
        <v>4</v>
      </c>
      <c r="G138" s="2" t="s">
        <v>5</v>
      </c>
      <c r="H138" s="2" t="s">
        <v>6</v>
      </c>
      <c r="I138" s="2" t="s">
        <v>7</v>
      </c>
      <c r="J138" s="2" t="s">
        <v>8</v>
      </c>
      <c r="K138" s="2" t="s">
        <v>9</v>
      </c>
      <c r="L138" s="2" t="s">
        <v>10</v>
      </c>
      <c r="M138" s="2" t="s">
        <v>11</v>
      </c>
      <c r="N138" s="2" t="s">
        <v>12</v>
      </c>
      <c r="O138" s="2" t="s">
        <v>13</v>
      </c>
      <c r="P138" s="2" t="s">
        <v>14</v>
      </c>
      <c r="Q138" s="3" t="s">
        <v>15</v>
      </c>
    </row>
    <row r="139" spans="2:17" ht="15.75" x14ac:dyDescent="0.25">
      <c r="B139" s="123"/>
      <c r="C139" s="34">
        <v>36</v>
      </c>
      <c r="D139" s="2">
        <v>15</v>
      </c>
      <c r="E139" s="2">
        <v>2.19</v>
      </c>
      <c r="F139" s="2">
        <v>0.22</v>
      </c>
      <c r="G139" s="2">
        <v>1</v>
      </c>
      <c r="H139" s="2">
        <v>20</v>
      </c>
      <c r="I139" s="2">
        <v>1</v>
      </c>
      <c r="J139" s="2">
        <v>0</v>
      </c>
      <c r="K139" s="6">
        <v>0.18</v>
      </c>
      <c r="L139" s="2">
        <v>6</v>
      </c>
      <c r="M139" s="7">
        <f>(C139+H139)*E139*F139*G139*I139+J139+L139</f>
        <v>32.980800000000002</v>
      </c>
      <c r="N139" s="8">
        <f>((M139/1.22)-L139)*0.18</f>
        <v>3.7860196721311481</v>
      </c>
      <c r="O139" s="9">
        <v>0.25</v>
      </c>
      <c r="P139" s="8">
        <f>(((1-O139)*C139)/1.23)*F139+D139+N139</f>
        <v>23.615287964814073</v>
      </c>
      <c r="Q139" s="36">
        <f>(M139/1.22-P139)/(M139/1.22)</f>
        <v>0.12644170799152338</v>
      </c>
    </row>
    <row r="140" spans="2:17" ht="15.75" x14ac:dyDescent="0.25">
      <c r="B140" s="123"/>
      <c r="C140" s="34">
        <v>179</v>
      </c>
      <c r="D140" s="2">
        <v>15</v>
      </c>
      <c r="E140" s="2">
        <v>1.25</v>
      </c>
      <c r="F140" s="2">
        <v>0.22</v>
      </c>
      <c r="G140" s="2">
        <v>1</v>
      </c>
      <c r="H140" s="2">
        <v>20</v>
      </c>
      <c r="I140" s="2">
        <v>1</v>
      </c>
      <c r="J140" s="2">
        <v>0</v>
      </c>
      <c r="K140" s="6">
        <v>0.18</v>
      </c>
      <c r="L140" s="2">
        <v>10</v>
      </c>
      <c r="M140" s="7">
        <f>(C140+H140)*E140*F140*G140*I140+J140+L140</f>
        <v>64.724999999999994</v>
      </c>
      <c r="N140" s="8">
        <f>((M140/1.22)-L140)*0.18</f>
        <v>7.7495901639344247</v>
      </c>
      <c r="O140" s="9">
        <v>0.25</v>
      </c>
      <c r="P140" s="8">
        <f>(((1-O140)*C140)/1.23)*F140+D140+N140</f>
        <v>46.761785285885651</v>
      </c>
      <c r="Q140" s="36">
        <f>(M140/1.22-P140)/(M140/1.22)</f>
        <v>0.11858821091107766</v>
      </c>
    </row>
    <row r="141" spans="2:17" ht="15.75" x14ac:dyDescent="0.25">
      <c r="B141" s="123"/>
      <c r="C141" s="34">
        <v>269</v>
      </c>
      <c r="D141" s="2">
        <v>15</v>
      </c>
      <c r="E141" s="2">
        <v>1.085</v>
      </c>
      <c r="F141" s="2">
        <v>0.22</v>
      </c>
      <c r="G141" s="2">
        <v>1</v>
      </c>
      <c r="H141" s="2">
        <v>20</v>
      </c>
      <c r="I141" s="2">
        <v>1</v>
      </c>
      <c r="J141" s="2">
        <v>0</v>
      </c>
      <c r="K141" s="6">
        <v>0.18</v>
      </c>
      <c r="L141" s="2">
        <v>15</v>
      </c>
      <c r="M141" s="7">
        <f>(C141+H141)*E141*F141*G141*I141+J141+L141</f>
        <v>83.984300000000005</v>
      </c>
      <c r="N141" s="8">
        <f>((M141/1.22)-L141)*0.18</f>
        <v>9.6911262295081979</v>
      </c>
      <c r="O141" s="9">
        <v>0.25</v>
      </c>
      <c r="P141" s="8">
        <f>(((1-O141)*C141)/1.23)*F141+D141+N141</f>
        <v>60.776492083166737</v>
      </c>
      <c r="Q141" s="36">
        <f>(M141/1.22-P141)/(M141/1.22)</f>
        <v>0.11712879262596208</v>
      </c>
    </row>
    <row r="142" spans="2:17" ht="15.75" x14ac:dyDescent="0.25">
      <c r="B142" s="123"/>
      <c r="C142" s="34">
        <v>769</v>
      </c>
      <c r="D142" s="2">
        <v>15</v>
      </c>
      <c r="E142" s="2">
        <v>1</v>
      </c>
      <c r="F142" s="2">
        <v>0.22</v>
      </c>
      <c r="G142" s="2">
        <v>1</v>
      </c>
      <c r="H142" s="2">
        <v>0</v>
      </c>
      <c r="I142" s="2">
        <v>1</v>
      </c>
      <c r="J142" s="2">
        <v>0</v>
      </c>
      <c r="K142" s="6">
        <v>0.18</v>
      </c>
      <c r="L142" s="2">
        <v>27</v>
      </c>
      <c r="M142" s="7">
        <f>(C142+H142)*E142*F142*G142*I142+J142+L142</f>
        <v>196.18</v>
      </c>
      <c r="N142" s="8">
        <f>((M142/1.22)-L142)*0.18</f>
        <v>24.084590163934426</v>
      </c>
      <c r="O142" s="9">
        <v>0.25</v>
      </c>
      <c r="P142" s="8">
        <f>(((1-O142)*C142)/1.23)*F142+D142+N142</f>
        <v>142.2431267493003</v>
      </c>
      <c r="Q142" s="36">
        <f>(M142/1.22-P142)/(M142/1.22)</f>
        <v>0.11542147704074639</v>
      </c>
    </row>
    <row r="143" spans="2:17" ht="16.5" thickBot="1" x14ac:dyDescent="0.3">
      <c r="B143" s="124"/>
      <c r="C143" s="34">
        <v>1999</v>
      </c>
      <c r="D143" s="2">
        <v>15</v>
      </c>
      <c r="E143" s="2">
        <v>0.99</v>
      </c>
      <c r="F143" s="2">
        <v>0.22</v>
      </c>
      <c r="G143" s="2">
        <v>1</v>
      </c>
      <c r="H143" s="2">
        <v>0</v>
      </c>
      <c r="I143" s="2">
        <v>1</v>
      </c>
      <c r="J143" s="2">
        <v>0</v>
      </c>
      <c r="K143" s="6">
        <v>0.18</v>
      </c>
      <c r="L143" s="2">
        <v>39</v>
      </c>
      <c r="M143" s="7">
        <f>(C143+H143)*E143*F143*G143*I143+J143+L143</f>
        <v>474.38220000000001</v>
      </c>
      <c r="N143" s="8">
        <f>((M143/1.22)-L143)*0.18</f>
        <v>62.970816393442625</v>
      </c>
      <c r="O143" s="9">
        <v>0.25</v>
      </c>
      <c r="P143" s="8">
        <f>(((1-O143)*C143)/1.23)*F143+D143+N143</f>
        <v>346.12935297880853</v>
      </c>
      <c r="Q143" s="36">
        <f>(M143/1.22-P143)/(M143/1.22)</f>
        <v>0.10983630786706086</v>
      </c>
    </row>
    <row r="145" spans="2:17" ht="15.75" thickBot="1" x14ac:dyDescent="0.3"/>
    <row r="146" spans="2:17" ht="31.5" customHeight="1" x14ac:dyDescent="0.3">
      <c r="B146" s="122" t="s">
        <v>27</v>
      </c>
      <c r="C146" s="131" t="s">
        <v>16</v>
      </c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3"/>
    </row>
    <row r="147" spans="2:17" x14ac:dyDescent="0.25">
      <c r="B147" s="123"/>
      <c r="C147" s="1" t="s">
        <v>19</v>
      </c>
      <c r="D147" s="2" t="s">
        <v>2</v>
      </c>
      <c r="E147" s="2" t="s">
        <v>3</v>
      </c>
      <c r="F147" s="2" t="s">
        <v>4</v>
      </c>
      <c r="G147" s="2" t="s">
        <v>5</v>
      </c>
      <c r="H147" s="2" t="s">
        <v>6</v>
      </c>
      <c r="I147" s="2" t="s">
        <v>7</v>
      </c>
      <c r="J147" s="2" t="s">
        <v>8</v>
      </c>
      <c r="K147" s="2" t="s">
        <v>9</v>
      </c>
      <c r="L147" s="2" t="s">
        <v>10</v>
      </c>
      <c r="M147" s="2" t="s">
        <v>11</v>
      </c>
      <c r="N147" s="2" t="s">
        <v>12</v>
      </c>
      <c r="O147" s="2" t="s">
        <v>13</v>
      </c>
      <c r="P147" s="2" t="s">
        <v>14</v>
      </c>
      <c r="Q147" s="3" t="s">
        <v>15</v>
      </c>
    </row>
    <row r="148" spans="2:17" ht="15.75" x14ac:dyDescent="0.25">
      <c r="B148" s="123"/>
      <c r="C148" s="34">
        <v>40</v>
      </c>
      <c r="D148" s="2">
        <v>15</v>
      </c>
      <c r="E148" s="2">
        <v>1.39</v>
      </c>
      <c r="F148" s="2">
        <v>0.22</v>
      </c>
      <c r="G148" s="2">
        <v>1</v>
      </c>
      <c r="H148" s="2">
        <v>30</v>
      </c>
      <c r="I148" s="2">
        <v>1</v>
      </c>
      <c r="J148" s="2">
        <v>0</v>
      </c>
      <c r="K148" s="6">
        <v>0.18</v>
      </c>
      <c r="L148" s="2">
        <v>9</v>
      </c>
      <c r="M148" s="7">
        <f>(C148+H148)*E148*F148*G148*I148+J148+L148</f>
        <v>30.405999999999999</v>
      </c>
      <c r="N148" s="8">
        <f>((M148/1.22)-L148)*0.18</f>
        <v>2.8661311475409836</v>
      </c>
      <c r="O148" s="9">
        <v>0.4</v>
      </c>
      <c r="P148" s="8">
        <f>(((1-O148)*C148)/1.23)*F148+D148+N148</f>
        <v>22.158814074370252</v>
      </c>
      <c r="Q148" s="36">
        <f>(M148/1.22-P148)/(M148/1.22)</f>
        <v>0.11090728242018986</v>
      </c>
    </row>
    <row r="149" spans="2:17" ht="15.75" x14ac:dyDescent="0.25">
      <c r="B149" s="123"/>
      <c r="C149" s="34">
        <v>100</v>
      </c>
      <c r="D149" s="2">
        <v>15</v>
      </c>
      <c r="E149" s="2">
        <v>1.1319999999999999</v>
      </c>
      <c r="F149" s="2">
        <v>0.22</v>
      </c>
      <c r="G149" s="2">
        <v>1</v>
      </c>
      <c r="H149" s="2">
        <v>30</v>
      </c>
      <c r="I149" s="2">
        <v>1</v>
      </c>
      <c r="J149" s="2">
        <v>0</v>
      </c>
      <c r="K149" s="6">
        <v>0.18</v>
      </c>
      <c r="L149" s="2">
        <v>9</v>
      </c>
      <c r="M149" s="7">
        <f>(C149+H149)*E149*F149*G149*I149+J149+L149</f>
        <v>41.3752</v>
      </c>
      <c r="N149" s="8">
        <f>((M149/1.22)-L149)*0.18</f>
        <v>4.4845377049180319</v>
      </c>
      <c r="O149" s="9">
        <v>0.4</v>
      </c>
      <c r="P149" s="8">
        <f>(((1-O149)*C149)/1.23)*F149+D149+N149</f>
        <v>30.216245021991206</v>
      </c>
      <c r="Q149" s="36">
        <f>(M149/1.22-P149)/(M149/1.22)</f>
        <v>0.1090358734983934</v>
      </c>
    </row>
    <row r="150" spans="2:17" ht="15.75" x14ac:dyDescent="0.25">
      <c r="B150" s="123"/>
      <c r="C150" s="34">
        <v>200</v>
      </c>
      <c r="D150" s="2">
        <v>15</v>
      </c>
      <c r="E150" s="2">
        <v>1</v>
      </c>
      <c r="F150" s="2">
        <v>0.22</v>
      </c>
      <c r="G150" s="2">
        <v>1</v>
      </c>
      <c r="H150" s="2">
        <v>30</v>
      </c>
      <c r="I150" s="2">
        <v>1</v>
      </c>
      <c r="J150" s="2">
        <v>0</v>
      </c>
      <c r="K150" s="6">
        <v>0.18</v>
      </c>
      <c r="L150" s="2">
        <v>9</v>
      </c>
      <c r="M150" s="7">
        <f>(C150+H150)*E150*F150*G150*I150+J150+L150</f>
        <v>59.6</v>
      </c>
      <c r="N150" s="8">
        <f>((M150/1.22)-L150)*0.18</f>
        <v>7.1734426229508204</v>
      </c>
      <c r="O150" s="9">
        <v>0.4</v>
      </c>
      <c r="P150" s="8">
        <f>(((1-O150)*C150)/1.23)*F150+D150+N150</f>
        <v>43.636857257097169</v>
      </c>
      <c r="Q150" s="36">
        <f>(M150/1.22-P150)/(M150/1.22)</f>
        <v>0.10676231789163519</v>
      </c>
    </row>
    <row r="151" spans="2:17" ht="15.75" x14ac:dyDescent="0.25">
      <c r="B151" s="123"/>
      <c r="C151" s="34">
        <v>350</v>
      </c>
      <c r="D151" s="2">
        <v>15</v>
      </c>
      <c r="E151" s="2">
        <v>0.93</v>
      </c>
      <c r="F151" s="2">
        <v>0.22</v>
      </c>
      <c r="G151" s="2">
        <v>1</v>
      </c>
      <c r="H151" s="2">
        <v>30</v>
      </c>
      <c r="I151" s="2">
        <v>1</v>
      </c>
      <c r="J151" s="2">
        <v>0</v>
      </c>
      <c r="K151" s="6">
        <v>0.18</v>
      </c>
      <c r="L151" s="2">
        <v>9</v>
      </c>
      <c r="M151" s="7">
        <f>(C151+H151)*E151*F151*G151*I151+J151+L151</f>
        <v>86.748000000000005</v>
      </c>
      <c r="N151" s="8">
        <f>((M151/1.22)-L151)*0.18</f>
        <v>11.178885245901638</v>
      </c>
      <c r="O151" s="9">
        <v>0.4</v>
      </c>
      <c r="P151" s="8">
        <f>(((1-O151)*C151)/1.23)*F151+D151+N151</f>
        <v>63.739860855657739</v>
      </c>
      <c r="Q151" s="36">
        <f>(M151/1.22-P151)/(M151/1.22)</f>
        <v>0.10358013736452204</v>
      </c>
    </row>
    <row r="152" spans="2:17" ht="15.75" x14ac:dyDescent="0.25">
      <c r="B152" s="123"/>
      <c r="C152" s="34">
        <v>400</v>
      </c>
      <c r="D152" s="2">
        <v>15</v>
      </c>
      <c r="E152" s="2">
        <v>0.91300000000000003</v>
      </c>
      <c r="F152" s="2">
        <v>0.22</v>
      </c>
      <c r="G152" s="2">
        <v>1</v>
      </c>
      <c r="H152" s="2">
        <v>30</v>
      </c>
      <c r="I152" s="2">
        <v>1</v>
      </c>
      <c r="J152" s="2">
        <v>0</v>
      </c>
      <c r="K152" s="6">
        <v>0.18</v>
      </c>
      <c r="L152" s="2">
        <v>9</v>
      </c>
      <c r="M152" s="7">
        <f>(C152+H152)*E152*F152*G152*I152+J152+L152</f>
        <v>95.369800000000012</v>
      </c>
      <c r="N152" s="8">
        <f>((M152/1.22)-L152)*0.18</f>
        <v>12.450954098360658</v>
      </c>
      <c r="O152" s="9">
        <v>0.4</v>
      </c>
      <c r="P152" s="8">
        <f>(((1-O152)*C152)/1.23)*F152+D152+N152</f>
        <v>70.377783366653347</v>
      </c>
      <c r="Q152" s="36">
        <f>(M152/1.22-P152)/(M152/1.22)</f>
        <v>9.9705612182084194E-2</v>
      </c>
    </row>
    <row r="153" spans="2:17" x14ac:dyDescent="0.25">
      <c r="B153" s="123"/>
      <c r="Q153" s="18"/>
    </row>
    <row r="154" spans="2:17" x14ac:dyDescent="0.25">
      <c r="B154" s="123"/>
      <c r="Q154" s="18"/>
    </row>
    <row r="155" spans="2:17" ht="18.75" x14ac:dyDescent="0.3">
      <c r="B155" s="123"/>
      <c r="C155" s="134" t="s">
        <v>17</v>
      </c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6"/>
    </row>
    <row r="156" spans="2:17" x14ac:dyDescent="0.25">
      <c r="B156" s="123"/>
      <c r="C156" s="1" t="s">
        <v>19</v>
      </c>
      <c r="D156" s="2" t="s">
        <v>2</v>
      </c>
      <c r="E156" s="2" t="s">
        <v>3</v>
      </c>
      <c r="F156" s="2" t="s">
        <v>4</v>
      </c>
      <c r="G156" s="2" t="s">
        <v>5</v>
      </c>
      <c r="H156" s="2" t="s">
        <v>6</v>
      </c>
      <c r="I156" s="2" t="s">
        <v>7</v>
      </c>
      <c r="J156" s="2" t="s">
        <v>8</v>
      </c>
      <c r="K156" s="2" t="s">
        <v>9</v>
      </c>
      <c r="L156" s="2" t="s">
        <v>10</v>
      </c>
      <c r="M156" s="2" t="s">
        <v>11</v>
      </c>
      <c r="N156" s="2" t="s">
        <v>12</v>
      </c>
      <c r="O156" s="2" t="s">
        <v>13</v>
      </c>
      <c r="P156" s="2" t="s">
        <v>14</v>
      </c>
      <c r="Q156" s="3" t="s">
        <v>15</v>
      </c>
    </row>
    <row r="157" spans="2:17" ht="15.75" x14ac:dyDescent="0.25">
      <c r="B157" s="123"/>
      <c r="C157" s="34">
        <v>40</v>
      </c>
      <c r="D157" s="2">
        <v>15</v>
      </c>
      <c r="E157" s="2">
        <v>2.093</v>
      </c>
      <c r="F157" s="2">
        <v>0.22</v>
      </c>
      <c r="G157" s="2">
        <v>1</v>
      </c>
      <c r="H157" s="2">
        <v>15</v>
      </c>
      <c r="I157" s="2">
        <v>1</v>
      </c>
      <c r="J157" s="2">
        <v>0</v>
      </c>
      <c r="K157" s="6">
        <v>0.18</v>
      </c>
      <c r="L157" s="2">
        <v>6</v>
      </c>
      <c r="M157" s="7">
        <f>(C157+H157)*E157*F157*G157*I157+J157+L157</f>
        <v>31.325299999999999</v>
      </c>
      <c r="N157" s="8">
        <f>((M157/1.22)-L157)*0.18</f>
        <v>3.5417655737704918</v>
      </c>
      <c r="O157" s="9">
        <v>0.4</v>
      </c>
      <c r="P157" s="8">
        <f>(((1-O157)*C157)/1.23)*F157+D157+N157</f>
        <v>22.834448500599759</v>
      </c>
      <c r="Q157" s="36">
        <f>(M157/1.22-P157)/(M157/1.22)</f>
        <v>0.11068602149918097</v>
      </c>
    </row>
    <row r="158" spans="2:17" ht="15.75" x14ac:dyDescent="0.25">
      <c r="B158" s="123"/>
      <c r="C158" s="34">
        <v>100</v>
      </c>
      <c r="D158" s="2">
        <v>15</v>
      </c>
      <c r="E158" s="2">
        <v>1.4370000000000001</v>
      </c>
      <c r="F158" s="2">
        <v>0.22</v>
      </c>
      <c r="G158" s="2">
        <v>1</v>
      </c>
      <c r="H158" s="2">
        <v>15</v>
      </c>
      <c r="I158" s="2">
        <v>1</v>
      </c>
      <c r="J158" s="2">
        <v>0</v>
      </c>
      <c r="K158" s="6">
        <v>0.18</v>
      </c>
      <c r="L158" s="2">
        <v>6</v>
      </c>
      <c r="M158" s="7">
        <f>(C158+H158)*E158*F158*G158*I158+J158+L158</f>
        <v>42.356099999999998</v>
      </c>
      <c r="N158" s="8">
        <f>((M158/1.22)-L158)*0.18</f>
        <v>5.1692606557377045</v>
      </c>
      <c r="O158" s="9">
        <v>0.4</v>
      </c>
      <c r="P158" s="8">
        <f>(((1-O158)*C158)/1.23)*F158+D158+N158</f>
        <v>30.900967972810879</v>
      </c>
      <c r="Q158" s="36">
        <f>(M158/1.22-P158)/(M158/1.22)</f>
        <v>0.1099468334707569</v>
      </c>
    </row>
    <row r="159" spans="2:17" ht="15.75" x14ac:dyDescent="0.25">
      <c r="B159" s="123"/>
      <c r="C159" s="34">
        <v>200</v>
      </c>
      <c r="D159" s="2">
        <v>15</v>
      </c>
      <c r="E159" s="2">
        <v>1.1200000000000001</v>
      </c>
      <c r="F159" s="2">
        <v>0.22</v>
      </c>
      <c r="G159" s="2">
        <v>1</v>
      </c>
      <c r="H159" s="2">
        <v>0</v>
      </c>
      <c r="I159" s="2">
        <v>1</v>
      </c>
      <c r="J159" s="2">
        <v>0</v>
      </c>
      <c r="K159" s="6">
        <v>0.18</v>
      </c>
      <c r="L159" s="2">
        <v>10</v>
      </c>
      <c r="M159" s="7">
        <f>(C159+H159)*E159*F159*G159*I159+J159+L159</f>
        <v>59.280000000000008</v>
      </c>
      <c r="N159" s="8">
        <f>((M159/1.22)-L159)*0.18</f>
        <v>6.9462295081967227</v>
      </c>
      <c r="O159" s="9">
        <v>0.4</v>
      </c>
      <c r="P159" s="8">
        <f>(((1-O159)*C159)/1.23)*F159+D159+N159</f>
        <v>43.409644142343069</v>
      </c>
      <c r="Q159" s="36">
        <f>(M159/1.22-P159)/(M159/1.22)</f>
        <v>0.1066166353971232</v>
      </c>
    </row>
    <row r="160" spans="2:17" ht="15.75" x14ac:dyDescent="0.25">
      <c r="B160" s="123"/>
      <c r="C160" s="34">
        <v>350</v>
      </c>
      <c r="D160" s="2">
        <v>15</v>
      </c>
      <c r="E160" s="2">
        <v>0.91</v>
      </c>
      <c r="F160" s="2">
        <v>0.22</v>
      </c>
      <c r="G160" s="2">
        <v>1</v>
      </c>
      <c r="H160" s="2">
        <v>0</v>
      </c>
      <c r="I160" s="2">
        <v>1</v>
      </c>
      <c r="J160" s="2">
        <v>0</v>
      </c>
      <c r="K160" s="6">
        <v>0.18</v>
      </c>
      <c r="L160" s="2">
        <v>15</v>
      </c>
      <c r="M160" s="7">
        <f>(C160+H160)*E160*F160*G160*I160+J160+L160</f>
        <v>85.070000000000007</v>
      </c>
      <c r="N160" s="8">
        <f>((M160/1.22)-L160)*0.18</f>
        <v>9.851311475409835</v>
      </c>
      <c r="O160" s="9">
        <v>0.4</v>
      </c>
      <c r="P160" s="8">
        <f>(((1-O160)*C160)/1.23)*F160+D160+N160</f>
        <v>62.412287085165936</v>
      </c>
      <c r="Q160" s="36">
        <f>(M160/1.22-P160)/(M160/1.22)</f>
        <v>0.10493722529796119</v>
      </c>
    </row>
    <row r="161" spans="2:17" ht="16.5" thickBot="1" x14ac:dyDescent="0.3">
      <c r="B161" s="124"/>
      <c r="C161" s="34">
        <v>400</v>
      </c>
      <c r="D161" s="2">
        <v>15</v>
      </c>
      <c r="E161" s="2">
        <v>0.79</v>
      </c>
      <c r="F161" s="2">
        <v>0.22</v>
      </c>
      <c r="G161" s="2">
        <v>1</v>
      </c>
      <c r="H161" s="2">
        <v>0</v>
      </c>
      <c r="I161" s="2">
        <v>1</v>
      </c>
      <c r="J161" s="2">
        <v>0</v>
      </c>
      <c r="K161" s="6">
        <v>0.18</v>
      </c>
      <c r="L161" s="2">
        <v>22</v>
      </c>
      <c r="M161" s="7">
        <f>(C161+H161)*E161*F161*G161*I161+J161+L161</f>
        <v>91.52</v>
      </c>
      <c r="N161" s="8">
        <f>((M161/1.22)-L161)*0.18</f>
        <v>9.5429508196721322</v>
      </c>
      <c r="O161" s="9">
        <v>0.4</v>
      </c>
      <c r="P161" s="8">
        <f>(((1-O161)*C161)/1.23)*F161+D161+N161</f>
        <v>67.469780087964821</v>
      </c>
      <c r="Q161" s="36">
        <f>(M161/1.22-P161)/(M161/1.22)</f>
        <v>0.10059952242879068</v>
      </c>
    </row>
    <row r="162" spans="2:17" ht="15.6" customHeight="1" x14ac:dyDescent="0.25">
      <c r="D162" s="33"/>
    </row>
    <row r="163" spans="2:17" ht="15.6" customHeight="1" thickBot="1" x14ac:dyDescent="0.3">
      <c r="D163" s="33"/>
    </row>
    <row r="164" spans="2:17" ht="15.6" customHeight="1" x14ac:dyDescent="0.3">
      <c r="B164" s="103" t="s">
        <v>97</v>
      </c>
      <c r="C164" s="106" t="s">
        <v>16</v>
      </c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9"/>
    </row>
    <row r="165" spans="2:17" ht="15.6" customHeight="1" x14ac:dyDescent="0.25">
      <c r="B165" s="104"/>
      <c r="C165" s="1" t="s">
        <v>1</v>
      </c>
      <c r="D165" s="32" t="s">
        <v>2</v>
      </c>
      <c r="E165" s="2" t="s">
        <v>3</v>
      </c>
      <c r="F165" s="2" t="s">
        <v>4</v>
      </c>
      <c r="G165" s="2" t="s">
        <v>5</v>
      </c>
      <c r="H165" s="2" t="s">
        <v>6</v>
      </c>
      <c r="I165" s="2" t="s">
        <v>7</v>
      </c>
      <c r="J165" s="2" t="s">
        <v>8</v>
      </c>
      <c r="K165" s="2" t="s">
        <v>9</v>
      </c>
      <c r="L165" s="2" t="s">
        <v>10</v>
      </c>
      <c r="M165" s="2" t="s">
        <v>11</v>
      </c>
      <c r="N165" s="2" t="s">
        <v>12</v>
      </c>
      <c r="O165" s="2" t="s">
        <v>13</v>
      </c>
      <c r="P165" s="2" t="s">
        <v>14</v>
      </c>
      <c r="Q165" s="3" t="s">
        <v>15</v>
      </c>
    </row>
    <row r="166" spans="2:17" ht="15.6" customHeight="1" x14ac:dyDescent="0.25">
      <c r="B166" s="104"/>
      <c r="C166" s="39">
        <v>30</v>
      </c>
      <c r="D166" s="32">
        <v>76.62</v>
      </c>
      <c r="E166" s="2">
        <v>1.55</v>
      </c>
      <c r="F166" s="2">
        <v>1</v>
      </c>
      <c r="G166" s="2">
        <v>1.23</v>
      </c>
      <c r="H166" s="2">
        <v>6.5</v>
      </c>
      <c r="I166" s="2">
        <v>1</v>
      </c>
      <c r="J166" s="2">
        <v>0</v>
      </c>
      <c r="K166" s="6">
        <v>0.18</v>
      </c>
      <c r="L166" s="2">
        <v>9</v>
      </c>
      <c r="M166" s="7">
        <f>(C166+H166)*E166*F166*G166*I166+J166+L166</f>
        <v>78.587249999999997</v>
      </c>
      <c r="N166" s="8">
        <f>((M166/1.21)-L166)*0.18</f>
        <v>10.070665289256196</v>
      </c>
      <c r="O166" s="9">
        <v>0</v>
      </c>
      <c r="P166" s="8">
        <f>(1-O166)*C166*F166+(D166*0.22)+N166</f>
        <v>56.927065289256198</v>
      </c>
      <c r="Q166" s="36">
        <f>(M166/1.22-P166)/(M166/1.22)</f>
        <v>0.11625588561894493</v>
      </c>
    </row>
    <row r="167" spans="2:17" ht="15.6" customHeight="1" x14ac:dyDescent="0.25">
      <c r="B167" s="104"/>
      <c r="C167" s="39">
        <v>60</v>
      </c>
      <c r="D167" s="32">
        <v>76.62</v>
      </c>
      <c r="E167" s="2">
        <v>1.48</v>
      </c>
      <c r="F167" s="2">
        <v>1</v>
      </c>
      <c r="G167" s="2">
        <v>1.23</v>
      </c>
      <c r="H167" s="2">
        <v>6.5</v>
      </c>
      <c r="I167" s="2">
        <v>1</v>
      </c>
      <c r="J167" s="2">
        <v>0</v>
      </c>
      <c r="K167" s="6">
        <v>0.18</v>
      </c>
      <c r="L167" s="2">
        <v>9</v>
      </c>
      <c r="M167" s="7">
        <f>(C167+H167)*E167*F167*G167*I167+J167+L167</f>
        <v>130.0566</v>
      </c>
      <c r="N167" s="8">
        <f>((M167/1.21)-L167)*0.18</f>
        <v>17.727262809917356</v>
      </c>
      <c r="O167" s="9">
        <v>0</v>
      </c>
      <c r="P167" s="8">
        <f t="shared" ref="P167:P170" si="0">(1-O167)*C167*F167+(D167*0.22)+N167</f>
        <v>94.583662809917371</v>
      </c>
      <c r="Q167" s="36">
        <f t="shared" ref="Q167:Q170" si="1">(M167/1.22-P167)/(M167/1.22)</f>
        <v>0.11275499568573082</v>
      </c>
    </row>
    <row r="168" spans="2:17" ht="15.6" customHeight="1" x14ac:dyDescent="0.25">
      <c r="B168" s="104"/>
      <c r="C168" s="39">
        <v>120</v>
      </c>
      <c r="D168" s="32">
        <v>76.62</v>
      </c>
      <c r="E168" s="2">
        <v>1.42</v>
      </c>
      <c r="F168" s="2">
        <v>1</v>
      </c>
      <c r="G168" s="2">
        <v>1.23</v>
      </c>
      <c r="H168" s="2">
        <v>6.5</v>
      </c>
      <c r="I168" s="2">
        <v>1</v>
      </c>
      <c r="J168" s="2">
        <v>0</v>
      </c>
      <c r="K168" s="6">
        <v>0.18</v>
      </c>
      <c r="L168" s="2">
        <v>11</v>
      </c>
      <c r="M168" s="7">
        <f>(C168+H168)*E168*F168*G168*I168+J168+L168</f>
        <v>231.94489999999999</v>
      </c>
      <c r="N168" s="8">
        <f>((M168/1.21)-L168)*0.18</f>
        <v>32.5242</v>
      </c>
      <c r="O168" s="9">
        <v>0</v>
      </c>
      <c r="P168" s="8">
        <f t="shared" si="0"/>
        <v>169.38060000000002</v>
      </c>
      <c r="Q168" s="36">
        <f t="shared" si="1"/>
        <v>0.10908007893253949</v>
      </c>
    </row>
    <row r="169" spans="2:17" ht="15.6" customHeight="1" x14ac:dyDescent="0.25">
      <c r="B169" s="104"/>
      <c r="C169" s="39">
        <v>350</v>
      </c>
      <c r="D169" s="32">
        <v>76.62</v>
      </c>
      <c r="E169" s="2">
        <v>1.4</v>
      </c>
      <c r="F169" s="2">
        <v>1</v>
      </c>
      <c r="G169" s="2">
        <v>1.23</v>
      </c>
      <c r="H169" s="2">
        <v>6.5</v>
      </c>
      <c r="I169" s="2">
        <v>1</v>
      </c>
      <c r="J169" s="2">
        <v>0</v>
      </c>
      <c r="K169" s="6">
        <v>0.18</v>
      </c>
      <c r="L169" s="2">
        <v>11</v>
      </c>
      <c r="M169" s="7">
        <f>(C169+H169)*E169*F169*G169*I169+J169+L169</f>
        <v>624.89299999999992</v>
      </c>
      <c r="N169" s="8">
        <f>((M169/1.21)-L169)*0.18</f>
        <v>90.979289256198328</v>
      </c>
      <c r="O169" s="9">
        <v>0</v>
      </c>
      <c r="P169" s="8">
        <f t="shared" si="0"/>
        <v>457.83568925619835</v>
      </c>
      <c r="Q169" s="36">
        <f t="shared" si="1"/>
        <v>0.1061517077442666</v>
      </c>
    </row>
    <row r="170" spans="2:17" ht="15.6" customHeight="1" x14ac:dyDescent="0.25">
      <c r="B170" s="104"/>
      <c r="C170" s="39">
        <v>500</v>
      </c>
      <c r="D170" s="32">
        <v>76.62</v>
      </c>
      <c r="E170" s="2">
        <v>1.39</v>
      </c>
      <c r="F170" s="2">
        <v>1</v>
      </c>
      <c r="G170" s="2">
        <v>1.23</v>
      </c>
      <c r="H170" s="2">
        <v>6.5</v>
      </c>
      <c r="I170" s="2">
        <v>1</v>
      </c>
      <c r="J170" s="2">
        <v>0</v>
      </c>
      <c r="K170" s="6">
        <v>0.18</v>
      </c>
      <c r="L170" s="2">
        <v>11</v>
      </c>
      <c r="M170" s="7">
        <f>(C170+H170)*E170*F170*G170*I170+J170+L170</f>
        <v>876.96304999999995</v>
      </c>
      <c r="N170" s="8">
        <f>((M170/1.21)-L170)*0.18</f>
        <v>128.4773132231405</v>
      </c>
      <c r="O170" s="9">
        <v>0</v>
      </c>
      <c r="P170" s="8">
        <f t="shared" si="0"/>
        <v>645.33371322314053</v>
      </c>
      <c r="Q170" s="36">
        <f t="shared" si="1"/>
        <v>0.10223454667533435</v>
      </c>
    </row>
    <row r="171" spans="2:17" ht="15.6" customHeight="1" x14ac:dyDescent="0.25">
      <c r="B171" s="104"/>
      <c r="D171" s="33"/>
      <c r="Q171" s="18"/>
    </row>
    <row r="172" spans="2:17" ht="15.6" customHeight="1" x14ac:dyDescent="0.3">
      <c r="B172" s="104"/>
      <c r="C172" s="107" t="s">
        <v>17</v>
      </c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9"/>
    </row>
    <row r="173" spans="2:17" ht="15.6" customHeight="1" x14ac:dyDescent="0.25">
      <c r="B173" s="104"/>
      <c r="C173" s="1" t="s">
        <v>1</v>
      </c>
      <c r="D173" s="32" t="s">
        <v>2</v>
      </c>
      <c r="E173" s="2" t="s">
        <v>3</v>
      </c>
      <c r="F173" s="2" t="s">
        <v>4</v>
      </c>
      <c r="G173" s="2" t="s">
        <v>5</v>
      </c>
      <c r="H173" s="2" t="s">
        <v>6</v>
      </c>
      <c r="I173" s="2" t="s">
        <v>7</v>
      </c>
      <c r="J173" s="2" t="s">
        <v>8</v>
      </c>
      <c r="K173" s="2" t="s">
        <v>9</v>
      </c>
      <c r="L173" s="2" t="s">
        <v>10</v>
      </c>
      <c r="M173" s="2" t="s">
        <v>11</v>
      </c>
      <c r="N173" s="2" t="s">
        <v>12</v>
      </c>
      <c r="O173" s="2" t="s">
        <v>13</v>
      </c>
      <c r="P173" s="2" t="s">
        <v>14</v>
      </c>
      <c r="Q173" s="3" t="s">
        <v>15</v>
      </c>
    </row>
    <row r="174" spans="2:17" ht="15.6" customHeight="1" x14ac:dyDescent="0.25">
      <c r="B174" s="104"/>
      <c r="C174" s="39">
        <v>30</v>
      </c>
      <c r="D174" s="32">
        <v>76.62</v>
      </c>
      <c r="E174" s="2">
        <v>1.48</v>
      </c>
      <c r="F174" s="2">
        <v>1</v>
      </c>
      <c r="G174" s="2">
        <v>1.23</v>
      </c>
      <c r="H174" s="2">
        <v>4.5</v>
      </c>
      <c r="I174" s="2">
        <v>1</v>
      </c>
      <c r="J174" s="2">
        <v>0</v>
      </c>
      <c r="K174" s="6">
        <v>0.18</v>
      </c>
      <c r="L174" s="2">
        <v>14</v>
      </c>
      <c r="M174" s="7">
        <f>(C174+H174)*E174*F174*G174*I174+J174+L174</f>
        <v>76.803799999999995</v>
      </c>
      <c r="N174" s="8">
        <f>((M174/1.21)-L174)*0.18</f>
        <v>8.9053586776859497</v>
      </c>
      <c r="O174" s="9">
        <v>0</v>
      </c>
      <c r="P174" s="8">
        <f>(1-O174)*C174*F174+(D174*0.22)+N174</f>
        <v>55.761758677685947</v>
      </c>
      <c r="Q174" s="36">
        <f>(M174/1.22-P174)/(M174/1.22)</f>
        <v>0.11424505575535515</v>
      </c>
    </row>
    <row r="175" spans="2:17" ht="15.6" customHeight="1" x14ac:dyDescent="0.25">
      <c r="B175" s="104"/>
      <c r="C175" s="39">
        <v>60</v>
      </c>
      <c r="D175" s="32">
        <v>76.62</v>
      </c>
      <c r="E175" s="2">
        <v>1.21</v>
      </c>
      <c r="F175" s="2">
        <v>1</v>
      </c>
      <c r="G175" s="2">
        <v>1.23</v>
      </c>
      <c r="H175" s="2">
        <v>4.5</v>
      </c>
      <c r="I175" s="2">
        <v>1</v>
      </c>
      <c r="J175" s="2">
        <v>0</v>
      </c>
      <c r="K175" s="6">
        <v>0.18</v>
      </c>
      <c r="L175" s="2">
        <v>21</v>
      </c>
      <c r="M175" s="7">
        <f>(C175+H175)*E175*F175*G175*I175+J175+L175</f>
        <v>116.99535</v>
      </c>
      <c r="N175" s="8">
        <f>((M175/1.21)-L175)*0.18</f>
        <v>13.624266942148759</v>
      </c>
      <c r="O175" s="9">
        <v>0</v>
      </c>
      <c r="P175" s="8">
        <f t="shared" ref="P175:P178" si="2">(1-O175)*C175*F175+(D175*0.22)+N175</f>
        <v>90.480666942148773</v>
      </c>
      <c r="Q175" s="36">
        <f t="shared" ref="Q175:Q178" si="3">(M175/1.22-P175)/(M175/1.22)</f>
        <v>5.6488880374976423E-2</v>
      </c>
    </row>
    <row r="176" spans="2:17" ht="15.6" customHeight="1" x14ac:dyDescent="0.25">
      <c r="B176" s="104"/>
      <c r="C176" s="39">
        <v>120</v>
      </c>
      <c r="D176" s="32">
        <v>76.62</v>
      </c>
      <c r="E176" s="2">
        <v>1.1599999999999999</v>
      </c>
      <c r="F176" s="2">
        <v>1</v>
      </c>
      <c r="G176" s="2">
        <v>1.23</v>
      </c>
      <c r="H176" s="2">
        <v>4.5</v>
      </c>
      <c r="I176" s="2">
        <v>1</v>
      </c>
      <c r="J176" s="2">
        <v>0</v>
      </c>
      <c r="K176" s="6">
        <v>0.18</v>
      </c>
      <c r="L176" s="2">
        <v>39</v>
      </c>
      <c r="M176" s="7">
        <f>(C176+H176)*E176*F176*G176*I176+J176+L176</f>
        <v>216.63659999999999</v>
      </c>
      <c r="N176" s="8">
        <f>((M176/1.21)-L176)*0.18</f>
        <v>25.206932231404959</v>
      </c>
      <c r="O176" s="9">
        <v>0</v>
      </c>
      <c r="P176" s="8">
        <f t="shared" si="2"/>
        <v>162.06333223140496</v>
      </c>
      <c r="Q176" s="36">
        <f t="shared" si="3"/>
        <v>8.7332125216542142E-2</v>
      </c>
    </row>
    <row r="177" spans="2:17" ht="15.6" customHeight="1" x14ac:dyDescent="0.25">
      <c r="B177" s="104"/>
      <c r="C177" s="39">
        <v>350</v>
      </c>
      <c r="D177" s="32">
        <v>76.62</v>
      </c>
      <c r="E177" s="2">
        <v>1.26</v>
      </c>
      <c r="F177" s="2">
        <v>1</v>
      </c>
      <c r="G177" s="2">
        <v>1.23</v>
      </c>
      <c r="H177" s="2">
        <v>4.5</v>
      </c>
      <c r="I177" s="2">
        <v>1</v>
      </c>
      <c r="J177" s="2">
        <v>0</v>
      </c>
      <c r="K177" s="6">
        <v>0.18</v>
      </c>
      <c r="L177" s="2">
        <v>61</v>
      </c>
      <c r="M177" s="7">
        <f>(C177+H177)*E177*F177*G177*I177+J177+L177</f>
        <v>610.40409999999997</v>
      </c>
      <c r="N177" s="8">
        <f>((M177/1.21)-L177)*0.18</f>
        <v>79.82391570247934</v>
      </c>
      <c r="O177" s="9">
        <v>0</v>
      </c>
      <c r="P177" s="8">
        <f t="shared" si="2"/>
        <v>446.68031570247933</v>
      </c>
      <c r="Q177" s="36">
        <f t="shared" si="3"/>
        <v>0.10723079160669989</v>
      </c>
    </row>
    <row r="178" spans="2:17" ht="15.6" customHeight="1" thickBot="1" x14ac:dyDescent="0.3">
      <c r="B178" s="105"/>
      <c r="C178" s="39">
        <v>500</v>
      </c>
      <c r="D178" s="32">
        <v>76.62</v>
      </c>
      <c r="E178" s="2">
        <v>1.29</v>
      </c>
      <c r="F178" s="2">
        <v>1</v>
      </c>
      <c r="G178" s="2">
        <v>1.23</v>
      </c>
      <c r="H178" s="2">
        <v>4.5</v>
      </c>
      <c r="I178" s="2">
        <v>1</v>
      </c>
      <c r="J178" s="2">
        <v>0</v>
      </c>
      <c r="K178" s="6">
        <v>0.18</v>
      </c>
      <c r="L178" s="2">
        <v>61</v>
      </c>
      <c r="M178" s="7">
        <f>(C178+H178)*E178*F178*G178*I178+J178+L178</f>
        <v>861.49015000000009</v>
      </c>
      <c r="N178" s="8">
        <f>((M178/1.21)-L178)*0.18</f>
        <v>117.17555950413225</v>
      </c>
      <c r="O178" s="9">
        <v>0</v>
      </c>
      <c r="P178" s="8">
        <f t="shared" si="2"/>
        <v>634.03195950413226</v>
      </c>
      <c r="Q178" s="36">
        <f t="shared" si="3"/>
        <v>0.10211510764801977</v>
      </c>
    </row>
    <row r="179" spans="2:17" ht="15.6" customHeight="1" thickBot="1" x14ac:dyDescent="0.3">
      <c r="D179" s="33"/>
    </row>
    <row r="180" spans="2:17" ht="15.6" customHeight="1" x14ac:dyDescent="0.3">
      <c r="B180" s="103" t="s">
        <v>98</v>
      </c>
      <c r="C180" s="106" t="s">
        <v>16</v>
      </c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9"/>
    </row>
    <row r="181" spans="2:17" ht="15.6" customHeight="1" x14ac:dyDescent="0.25">
      <c r="B181" s="104"/>
      <c r="C181" s="1" t="s">
        <v>1</v>
      </c>
      <c r="D181" s="3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2" t="s">
        <v>8</v>
      </c>
      <c r="K181" s="2" t="s">
        <v>9</v>
      </c>
      <c r="L181" s="2" t="s">
        <v>10</v>
      </c>
      <c r="M181" s="2" t="s">
        <v>11</v>
      </c>
      <c r="N181" s="2" t="s">
        <v>12</v>
      </c>
      <c r="O181" s="2" t="s">
        <v>13</v>
      </c>
      <c r="P181" s="2" t="s">
        <v>14</v>
      </c>
      <c r="Q181" s="3" t="s">
        <v>15</v>
      </c>
    </row>
    <row r="182" spans="2:17" ht="15.6" customHeight="1" x14ac:dyDescent="0.25">
      <c r="B182" s="104"/>
      <c r="C182" s="39">
        <v>30</v>
      </c>
      <c r="D182" s="32">
        <v>96.04</v>
      </c>
      <c r="E182" s="2">
        <v>1.55</v>
      </c>
      <c r="F182" s="2">
        <v>1</v>
      </c>
      <c r="G182" s="2">
        <v>1.23</v>
      </c>
      <c r="H182" s="2">
        <v>6.5</v>
      </c>
      <c r="I182" s="2">
        <v>1</v>
      </c>
      <c r="J182" s="2">
        <v>0</v>
      </c>
      <c r="K182" s="6">
        <v>0.18</v>
      </c>
      <c r="L182" s="2">
        <f>9+40</f>
        <v>49</v>
      </c>
      <c r="M182" s="7">
        <f>(C182+H182)*E182*F182*G182*I182+J182+L182</f>
        <v>118.58725</v>
      </c>
      <c r="N182" s="8">
        <f>((M182/1.21)-L182)*0.18</f>
        <v>8.8210785123966939</v>
      </c>
      <c r="O182" s="9">
        <v>0</v>
      </c>
      <c r="P182" s="8">
        <f>(1-O182)*C182*F182+(D182*0.22)+N182</f>
        <v>59.949878512396694</v>
      </c>
      <c r="Q182" s="36">
        <f>(M182/1.22-P182)/(M182/1.22)</f>
        <v>0.38324860568801478</v>
      </c>
    </row>
    <row r="183" spans="2:17" ht="15.6" customHeight="1" x14ac:dyDescent="0.25">
      <c r="B183" s="104"/>
      <c r="C183" s="39">
        <v>60</v>
      </c>
      <c r="D183" s="32">
        <v>96.04</v>
      </c>
      <c r="E183" s="2">
        <v>1.48</v>
      </c>
      <c r="F183" s="2">
        <v>1</v>
      </c>
      <c r="G183" s="2">
        <v>1.23</v>
      </c>
      <c r="H183" s="2">
        <v>6.5</v>
      </c>
      <c r="I183" s="2">
        <v>1</v>
      </c>
      <c r="J183" s="2">
        <v>0</v>
      </c>
      <c r="K183" s="6">
        <v>0.18</v>
      </c>
      <c r="L183" s="2">
        <f>9+44</f>
        <v>53</v>
      </c>
      <c r="M183" s="7">
        <f>(C183+H183)*E183*F183*G183*I183+J183+L183</f>
        <v>174.0566</v>
      </c>
      <c r="N183" s="8">
        <f>((M183/1.21)-L183)*0.18</f>
        <v>16.352717355371901</v>
      </c>
      <c r="O183" s="9">
        <v>0</v>
      </c>
      <c r="P183" s="8">
        <f t="shared" ref="P183:P186" si="4">(1-O183)*C183*F183+(D183*0.22)+N183</f>
        <v>97.481517355371892</v>
      </c>
      <c r="Q183" s="36">
        <f t="shared" ref="Q183:Q186" si="5">(M183/1.22-P183)/(M183/1.22)</f>
        <v>0.31673116001603097</v>
      </c>
    </row>
    <row r="184" spans="2:17" ht="15.6" customHeight="1" x14ac:dyDescent="0.25">
      <c r="B184" s="104"/>
      <c r="C184" s="39">
        <v>120</v>
      </c>
      <c r="D184" s="32">
        <v>96.04</v>
      </c>
      <c r="E184" s="2">
        <v>1.42</v>
      </c>
      <c r="F184" s="2">
        <v>1</v>
      </c>
      <c r="G184" s="2">
        <v>1.23</v>
      </c>
      <c r="H184" s="2">
        <v>6.5</v>
      </c>
      <c r="I184" s="2">
        <v>1</v>
      </c>
      <c r="J184" s="2">
        <v>0</v>
      </c>
      <c r="K184" s="6">
        <v>0.18</v>
      </c>
      <c r="L184" s="2">
        <f>11+54</f>
        <v>65</v>
      </c>
      <c r="M184" s="7">
        <f>(C184+H184)*E184*F184*G184*I184+J184+L184</f>
        <v>285.94489999999996</v>
      </c>
      <c r="N184" s="8">
        <f>((M184/1.21)-L184)*0.18</f>
        <v>30.837257851239663</v>
      </c>
      <c r="O184" s="9">
        <v>0</v>
      </c>
      <c r="P184" s="8">
        <f t="shared" si="4"/>
        <v>171.96605785123967</v>
      </c>
      <c r="Q184" s="36">
        <f t="shared" si="5"/>
        <v>0.26629714123765652</v>
      </c>
    </row>
    <row r="185" spans="2:17" ht="15.6" customHeight="1" x14ac:dyDescent="0.25">
      <c r="B185" s="104"/>
      <c r="C185" s="39">
        <v>350</v>
      </c>
      <c r="D185" s="32">
        <v>96.04</v>
      </c>
      <c r="E185" s="2">
        <v>1.4</v>
      </c>
      <c r="F185" s="2">
        <v>1</v>
      </c>
      <c r="G185" s="2">
        <v>1.23</v>
      </c>
      <c r="H185" s="2">
        <v>6.5</v>
      </c>
      <c r="I185" s="2">
        <v>1</v>
      </c>
      <c r="J185" s="2">
        <v>0</v>
      </c>
      <c r="K185" s="6">
        <v>0.18</v>
      </c>
      <c r="L185" s="2">
        <f>11+60</f>
        <v>71</v>
      </c>
      <c r="M185" s="7">
        <f>(C185+H185)*E185*F185*G185*I185+J185+L185</f>
        <v>684.89299999999992</v>
      </c>
      <c r="N185" s="8">
        <f>((M185/1.21)-L185)*0.18</f>
        <v>89.104909090909089</v>
      </c>
      <c r="O185" s="9">
        <v>0</v>
      </c>
      <c r="P185" s="8">
        <f t="shared" si="4"/>
        <v>460.23370909090909</v>
      </c>
      <c r="Q185" s="36">
        <f t="shared" si="5"/>
        <v>0.1801856274032452</v>
      </c>
    </row>
    <row r="186" spans="2:17" ht="15.6" customHeight="1" x14ac:dyDescent="0.25">
      <c r="B186" s="104"/>
      <c r="C186" s="39">
        <v>500</v>
      </c>
      <c r="D186" s="32">
        <v>96.04</v>
      </c>
      <c r="E186" s="2">
        <v>1.39</v>
      </c>
      <c r="F186" s="2">
        <v>1</v>
      </c>
      <c r="G186" s="2">
        <v>1.23</v>
      </c>
      <c r="H186" s="2">
        <v>6.5</v>
      </c>
      <c r="I186" s="2">
        <v>1</v>
      </c>
      <c r="J186" s="2">
        <v>0</v>
      </c>
      <c r="K186" s="6">
        <v>0.18</v>
      </c>
      <c r="L186" s="2">
        <f>11+60</f>
        <v>71</v>
      </c>
      <c r="M186" s="7">
        <f>(C186+H186)*E186*F186*G186*I186+J186+L186</f>
        <v>936.96304999999995</v>
      </c>
      <c r="N186" s="8">
        <f>((M186/1.21)-L186)*0.18</f>
        <v>126.60293305785123</v>
      </c>
      <c r="O186" s="9">
        <v>0</v>
      </c>
      <c r="P186" s="8">
        <f t="shared" si="4"/>
        <v>647.73173305785122</v>
      </c>
      <c r="Q186" s="36">
        <f t="shared" si="5"/>
        <v>0.15660205135028693</v>
      </c>
    </row>
    <row r="187" spans="2:17" ht="15.6" customHeight="1" x14ac:dyDescent="0.25">
      <c r="B187" s="104"/>
      <c r="D187" s="33"/>
      <c r="Q187" s="18"/>
    </row>
    <row r="188" spans="2:17" ht="15.6" customHeight="1" x14ac:dyDescent="0.3">
      <c r="B188" s="104"/>
      <c r="C188" s="107" t="s">
        <v>17</v>
      </c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9"/>
    </row>
    <row r="189" spans="2:17" ht="15.6" customHeight="1" x14ac:dyDescent="0.25">
      <c r="B189" s="104"/>
      <c r="C189" s="1" t="s">
        <v>1</v>
      </c>
      <c r="D189" s="32" t="s">
        <v>2</v>
      </c>
      <c r="E189" s="2" t="s">
        <v>3</v>
      </c>
      <c r="F189" s="2" t="s">
        <v>4</v>
      </c>
      <c r="G189" s="2" t="s">
        <v>5</v>
      </c>
      <c r="H189" s="2" t="s">
        <v>6</v>
      </c>
      <c r="I189" s="2" t="s">
        <v>7</v>
      </c>
      <c r="J189" s="2" t="s">
        <v>8</v>
      </c>
      <c r="K189" s="2" t="s">
        <v>9</v>
      </c>
      <c r="L189" s="2" t="s">
        <v>10</v>
      </c>
      <c r="M189" s="2" t="s">
        <v>11</v>
      </c>
      <c r="N189" s="2" t="s">
        <v>12</v>
      </c>
      <c r="O189" s="2" t="s">
        <v>13</v>
      </c>
      <c r="P189" s="2" t="s">
        <v>14</v>
      </c>
      <c r="Q189" s="3" t="s">
        <v>15</v>
      </c>
    </row>
    <row r="190" spans="2:17" ht="15.6" customHeight="1" x14ac:dyDescent="0.25">
      <c r="B190" s="104"/>
      <c r="C190" s="39">
        <v>30</v>
      </c>
      <c r="D190" s="32">
        <v>96.04</v>
      </c>
      <c r="E190" s="2">
        <v>1.48</v>
      </c>
      <c r="F190" s="2">
        <v>1</v>
      </c>
      <c r="G190" s="2">
        <v>1.23</v>
      </c>
      <c r="H190" s="2">
        <v>4.5</v>
      </c>
      <c r="I190" s="2">
        <v>1</v>
      </c>
      <c r="J190" s="2">
        <v>0</v>
      </c>
      <c r="K190" s="6">
        <v>0.18</v>
      </c>
      <c r="L190" s="2">
        <f>14+21</f>
        <v>35</v>
      </c>
      <c r="M190" s="7">
        <f>(C190+H190)*E190*F190*G190*I190+J190+L190</f>
        <v>97.803799999999995</v>
      </c>
      <c r="N190" s="8">
        <f>((M190/1.21)-L190)*0.18</f>
        <v>8.2493256198347105</v>
      </c>
      <c r="O190" s="9">
        <v>0</v>
      </c>
      <c r="P190" s="8">
        <f>(1-O190)*C190*F190+(D190*0.22)+N190</f>
        <v>59.378125619834705</v>
      </c>
      <c r="Q190" s="36">
        <f>(M190/1.22-P190)/(M190/1.22)</f>
        <v>0.25932005447438294</v>
      </c>
    </row>
    <row r="191" spans="2:17" ht="15.6" customHeight="1" x14ac:dyDescent="0.25">
      <c r="B191" s="104"/>
      <c r="C191" s="39">
        <v>60</v>
      </c>
      <c r="D191" s="32">
        <v>96.04</v>
      </c>
      <c r="E191" s="2">
        <v>1.21</v>
      </c>
      <c r="F191" s="2">
        <v>1</v>
      </c>
      <c r="G191" s="2">
        <v>1.23</v>
      </c>
      <c r="H191" s="2">
        <v>4.5</v>
      </c>
      <c r="I191" s="2">
        <v>1</v>
      </c>
      <c r="J191" s="2">
        <v>0</v>
      </c>
      <c r="K191" s="6">
        <v>0.18</v>
      </c>
      <c r="L191" s="2">
        <f>21+25</f>
        <v>46</v>
      </c>
      <c r="M191" s="7">
        <f>(C191+H191)*E191*F191*G191*I191+J191+L191</f>
        <v>141.99535</v>
      </c>
      <c r="N191" s="8">
        <f>((M191/1.21)-L191)*0.18</f>
        <v>12.843275206611573</v>
      </c>
      <c r="O191" s="9">
        <v>0</v>
      </c>
      <c r="P191" s="8">
        <f t="shared" ref="P191:P194" si="6">(1-O191)*C191*F191+(D191*0.22)+N191</f>
        <v>93.972075206611578</v>
      </c>
      <c r="Q191" s="36">
        <f t="shared" ref="Q191:Q194" si="7">(M191/1.22-P191)/(M191/1.22)</f>
        <v>0.19260784418598126</v>
      </c>
    </row>
    <row r="192" spans="2:17" ht="15.6" customHeight="1" x14ac:dyDescent="0.25">
      <c r="B192" s="104"/>
      <c r="C192" s="39">
        <v>120</v>
      </c>
      <c r="D192" s="32">
        <v>96.04</v>
      </c>
      <c r="E192" s="2">
        <v>1.1599999999999999</v>
      </c>
      <c r="F192" s="2">
        <v>1</v>
      </c>
      <c r="G192" s="2">
        <v>1.23</v>
      </c>
      <c r="H192" s="2">
        <v>4.5</v>
      </c>
      <c r="I192" s="2">
        <v>1</v>
      </c>
      <c r="J192" s="2">
        <v>0</v>
      </c>
      <c r="K192" s="6">
        <v>0.18</v>
      </c>
      <c r="L192" s="2">
        <f>39+35</f>
        <v>74</v>
      </c>
      <c r="M192" s="7">
        <f>(C192+H192)*E192*F192*G192*I192+J192+L192</f>
        <v>251.63659999999999</v>
      </c>
      <c r="N192" s="8">
        <f>((M192/1.21)-L192)*0.18</f>
        <v>24.113543801652892</v>
      </c>
      <c r="O192" s="9">
        <v>0</v>
      </c>
      <c r="P192" s="8">
        <f t="shared" si="6"/>
        <v>165.24234380165291</v>
      </c>
      <c r="Q192" s="36">
        <f t="shared" si="7"/>
        <v>0.19886193249306119</v>
      </c>
    </row>
    <row r="193" spans="2:17" ht="15.6" customHeight="1" x14ac:dyDescent="0.25">
      <c r="B193" s="104"/>
      <c r="C193" s="39">
        <v>350</v>
      </c>
      <c r="D193" s="32">
        <v>96.04</v>
      </c>
      <c r="E193" s="2">
        <v>1.26</v>
      </c>
      <c r="F193" s="2">
        <v>1</v>
      </c>
      <c r="G193" s="2">
        <v>1.23</v>
      </c>
      <c r="H193" s="2">
        <v>4.5</v>
      </c>
      <c r="I193" s="2">
        <v>1</v>
      </c>
      <c r="J193" s="2">
        <v>0</v>
      </c>
      <c r="K193" s="6">
        <v>0.18</v>
      </c>
      <c r="L193" s="2">
        <f>61+50</f>
        <v>111</v>
      </c>
      <c r="M193" s="7">
        <f>(C193+H193)*E193*F193*G193*I193+J193+L193</f>
        <v>660.40409999999997</v>
      </c>
      <c r="N193" s="8">
        <f>((M193/1.21)-L193)*0.18</f>
        <v>78.261932231404941</v>
      </c>
      <c r="O193" s="9">
        <v>0</v>
      </c>
      <c r="P193" s="8">
        <f t="shared" si="6"/>
        <v>449.39073223140497</v>
      </c>
      <c r="Q193" s="36">
        <f t="shared" si="7"/>
        <v>0.16981633923485023</v>
      </c>
    </row>
    <row r="194" spans="2:17" ht="15.6" customHeight="1" thickBot="1" x14ac:dyDescent="0.3">
      <c r="B194" s="105"/>
      <c r="C194" s="39">
        <v>500</v>
      </c>
      <c r="D194" s="32">
        <v>96.04</v>
      </c>
      <c r="E194" s="2">
        <v>1.29</v>
      </c>
      <c r="F194" s="2">
        <v>1</v>
      </c>
      <c r="G194" s="2">
        <v>1.23</v>
      </c>
      <c r="H194" s="2">
        <v>4.5</v>
      </c>
      <c r="I194" s="2">
        <v>1</v>
      </c>
      <c r="J194" s="2">
        <v>0</v>
      </c>
      <c r="K194" s="6">
        <v>0.18</v>
      </c>
      <c r="L194" s="2">
        <f>61+50</f>
        <v>111</v>
      </c>
      <c r="M194" s="7">
        <f>(C194+H194)*E194*F194*G194*I194+J194+L194</f>
        <v>911.49015000000009</v>
      </c>
      <c r="N194" s="8">
        <f>((M194/1.21)-L194)*0.18</f>
        <v>115.61357603305787</v>
      </c>
      <c r="O194" s="9">
        <v>0</v>
      </c>
      <c r="P194" s="8">
        <f t="shared" si="6"/>
        <v>636.74237603305778</v>
      </c>
      <c r="Q194" s="36">
        <f t="shared" si="7"/>
        <v>0.14774098353083645</v>
      </c>
    </row>
    <row r="195" spans="2:17" ht="14.45" customHeight="1" x14ac:dyDescent="0.25"/>
    <row r="196" spans="2:17" ht="14.45" customHeight="1" thickBot="1" x14ac:dyDescent="0.3"/>
    <row r="197" spans="2:17" ht="14.45" customHeight="1" x14ac:dyDescent="0.3">
      <c r="B197" s="140" t="s">
        <v>32</v>
      </c>
      <c r="C197" s="131" t="s">
        <v>16</v>
      </c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3"/>
    </row>
    <row r="198" spans="2:17" ht="14.45" customHeight="1" x14ac:dyDescent="0.25">
      <c r="B198" s="141"/>
      <c r="C198" s="1" t="s">
        <v>1</v>
      </c>
      <c r="D198" s="2" t="s">
        <v>2</v>
      </c>
      <c r="E198" s="2" t="s">
        <v>3</v>
      </c>
      <c r="F198" s="2" t="s">
        <v>4</v>
      </c>
      <c r="G198" s="2" t="s">
        <v>5</v>
      </c>
      <c r="H198" s="2" t="s">
        <v>6</v>
      </c>
      <c r="I198" s="2" t="s">
        <v>7</v>
      </c>
      <c r="J198" s="2" t="s">
        <v>8</v>
      </c>
      <c r="K198" s="2" t="s">
        <v>9</v>
      </c>
      <c r="L198" s="2" t="s">
        <v>10</v>
      </c>
      <c r="M198" s="2" t="s">
        <v>11</v>
      </c>
      <c r="N198" s="2" t="s">
        <v>12</v>
      </c>
      <c r="O198" s="2" t="s">
        <v>13</v>
      </c>
      <c r="P198" s="2" t="s">
        <v>14</v>
      </c>
      <c r="Q198" s="3" t="s">
        <v>15</v>
      </c>
    </row>
    <row r="199" spans="2:17" ht="14.45" customHeight="1" x14ac:dyDescent="0.25">
      <c r="B199" s="141"/>
      <c r="C199" s="34">
        <v>30</v>
      </c>
      <c r="D199" s="2">
        <v>17</v>
      </c>
      <c r="E199" s="2">
        <v>1.46</v>
      </c>
      <c r="F199" s="2">
        <v>0.22</v>
      </c>
      <c r="G199" s="2">
        <v>1.23</v>
      </c>
      <c r="H199" s="2">
        <v>42</v>
      </c>
      <c r="I199" s="2">
        <v>1</v>
      </c>
      <c r="J199" s="2">
        <v>0</v>
      </c>
      <c r="K199" s="6">
        <v>0.18</v>
      </c>
      <c r="L199" s="2">
        <v>9</v>
      </c>
      <c r="M199" s="7">
        <f>(C199+H199)*E199*F199*G199*I199+J199+L199</f>
        <v>37.445471999999995</v>
      </c>
      <c r="N199" s="8">
        <f>((M199/1.2)-L199)*0.18</f>
        <v>3.9968207999999992</v>
      </c>
      <c r="O199" s="9">
        <v>0</v>
      </c>
      <c r="P199" s="8">
        <f>(1-O199)*C199*F199+D199+N199</f>
        <v>27.5968208</v>
      </c>
      <c r="Q199" s="36">
        <f>(M199/1.2-P199)/(M199/1.2)</f>
        <v>0.11561576897735452</v>
      </c>
    </row>
    <row r="200" spans="2:17" ht="14.45" customHeight="1" x14ac:dyDescent="0.25">
      <c r="B200" s="141"/>
      <c r="C200" s="34">
        <v>60</v>
      </c>
      <c r="D200" s="2">
        <v>17</v>
      </c>
      <c r="E200" s="2">
        <v>1.43</v>
      </c>
      <c r="F200" s="2">
        <v>0.22</v>
      </c>
      <c r="G200" s="2">
        <v>1.23</v>
      </c>
      <c r="H200" s="2">
        <v>42</v>
      </c>
      <c r="I200" s="2">
        <v>1</v>
      </c>
      <c r="J200" s="2">
        <v>0</v>
      </c>
      <c r="K200" s="6">
        <v>0.18</v>
      </c>
      <c r="L200" s="2">
        <v>9</v>
      </c>
      <c r="M200" s="7">
        <f>(C200+H200)*E200*F200*G200*I200+J200+L200</f>
        <v>48.469715999999998</v>
      </c>
      <c r="N200" s="8">
        <f>((M200/1.2)-L200)*0.18</f>
        <v>5.6504573999999996</v>
      </c>
      <c r="O200" s="9">
        <v>0</v>
      </c>
      <c r="P200" s="8">
        <f>(1-O200)*C200*F200+D200+N200</f>
        <v>35.850457399999996</v>
      </c>
      <c r="Q200" s="36">
        <f>(M200/1.2-P200)/(M200/1.2)</f>
        <v>0.11242416027360268</v>
      </c>
    </row>
    <row r="201" spans="2:17" ht="14.45" customHeight="1" x14ac:dyDescent="0.25">
      <c r="B201" s="141"/>
      <c r="C201" s="34">
        <v>120</v>
      </c>
      <c r="D201" s="2">
        <v>17</v>
      </c>
      <c r="E201" s="2">
        <v>1.4</v>
      </c>
      <c r="F201" s="2">
        <v>0.22</v>
      </c>
      <c r="G201" s="2">
        <v>1.23</v>
      </c>
      <c r="H201" s="2">
        <v>42</v>
      </c>
      <c r="I201" s="2">
        <v>1</v>
      </c>
      <c r="J201" s="2">
        <v>0</v>
      </c>
      <c r="K201" s="6">
        <v>0.18</v>
      </c>
      <c r="L201" s="2">
        <v>9</v>
      </c>
      <c r="M201" s="7">
        <f>(C201+H201)*E201*F201*G201*I201+J201+L201</f>
        <v>70.372079999999983</v>
      </c>
      <c r="N201" s="8">
        <f>((M201/1.2)-L201)*0.18</f>
        <v>8.9358119999999968</v>
      </c>
      <c r="O201" s="9">
        <v>0</v>
      </c>
      <c r="P201" s="8">
        <f>(1-O201)*C201*F201+D201+N201</f>
        <v>52.335811999999997</v>
      </c>
      <c r="Q201" s="36">
        <f>(M201/1.2-P201)/(M201/1.2)</f>
        <v>0.10755836121370844</v>
      </c>
    </row>
    <row r="202" spans="2:17" ht="14.45" customHeight="1" x14ac:dyDescent="0.25">
      <c r="B202" s="141"/>
      <c r="C202" s="34">
        <v>350</v>
      </c>
      <c r="D202" s="2">
        <v>17</v>
      </c>
      <c r="E202" s="2">
        <v>1.37</v>
      </c>
      <c r="F202" s="2">
        <v>0.22</v>
      </c>
      <c r="G202" s="2">
        <v>1.23</v>
      </c>
      <c r="H202" s="2">
        <v>42</v>
      </c>
      <c r="I202" s="2">
        <v>1</v>
      </c>
      <c r="J202" s="2">
        <v>0</v>
      </c>
      <c r="K202" s="6">
        <v>0.18</v>
      </c>
      <c r="L202" s="2">
        <v>9</v>
      </c>
      <c r="M202" s="7">
        <f>(C202+H202)*E202*F202*G202*I202+J202+L202</f>
        <v>154.32302400000003</v>
      </c>
      <c r="N202" s="8">
        <f>((M202/1.2)-L202)*0.18</f>
        <v>21.528453600000002</v>
      </c>
      <c r="O202" s="9">
        <v>0</v>
      </c>
      <c r="P202" s="8">
        <f>(1-O202)*C202*F202+D202+N202</f>
        <v>115.52845360000001</v>
      </c>
      <c r="Q202" s="36">
        <f>(M202/1.2-P202)/(M202/1.2)</f>
        <v>0.10166259883554396</v>
      </c>
    </row>
    <row r="203" spans="2:17" ht="14.45" customHeight="1" x14ac:dyDescent="0.25">
      <c r="B203" s="141"/>
      <c r="C203" s="34">
        <v>500</v>
      </c>
      <c r="D203" s="2">
        <v>17</v>
      </c>
      <c r="E203" s="2">
        <v>1.34</v>
      </c>
      <c r="F203" s="2">
        <v>0.22</v>
      </c>
      <c r="G203" s="2">
        <v>1.23</v>
      </c>
      <c r="H203" s="2">
        <v>42</v>
      </c>
      <c r="I203" s="2">
        <v>1</v>
      </c>
      <c r="J203" s="2">
        <v>0</v>
      </c>
      <c r="K203" s="6">
        <v>0.18</v>
      </c>
      <c r="L203" s="2">
        <v>11</v>
      </c>
      <c r="M203" s="7">
        <f>(C203+H203)*E203*F203*G203*I203+J203+L203</f>
        <v>207.53136800000004</v>
      </c>
      <c r="N203" s="8">
        <f>((M203/1.2)-L203)*0.18</f>
        <v>29.149705200000007</v>
      </c>
      <c r="O203" s="9">
        <v>0</v>
      </c>
      <c r="P203" s="8">
        <f>(1-O203)*C203*F203+D203+N203</f>
        <v>156.1497052</v>
      </c>
      <c r="Q203" s="36">
        <f>(M203/1.2-P203)/(M203/1.2)</f>
        <v>9.7102052350948945E-2</v>
      </c>
    </row>
    <row r="204" spans="2:17" ht="14.45" customHeight="1" x14ac:dyDescent="0.25">
      <c r="B204" s="141"/>
      <c r="Q204" s="18"/>
    </row>
    <row r="205" spans="2:17" ht="14.45" customHeight="1" x14ac:dyDescent="0.25">
      <c r="B205" s="141"/>
      <c r="Q205" s="18"/>
    </row>
    <row r="206" spans="2:17" ht="14.45" customHeight="1" x14ac:dyDescent="0.3">
      <c r="B206" s="141"/>
      <c r="C206" s="134" t="s">
        <v>17</v>
      </c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6"/>
    </row>
    <row r="207" spans="2:17" ht="14.45" customHeight="1" x14ac:dyDescent="0.25">
      <c r="B207" s="141"/>
      <c r="C207" s="1" t="s">
        <v>1</v>
      </c>
      <c r="D207" s="2" t="s">
        <v>2</v>
      </c>
      <c r="E207" s="2" t="s">
        <v>3</v>
      </c>
      <c r="F207" s="2" t="s">
        <v>4</v>
      </c>
      <c r="G207" s="2" t="s">
        <v>5</v>
      </c>
      <c r="H207" s="2" t="s">
        <v>6</v>
      </c>
      <c r="I207" s="2" t="s">
        <v>7</v>
      </c>
      <c r="J207" s="2" t="s">
        <v>8</v>
      </c>
      <c r="K207" s="2" t="s">
        <v>9</v>
      </c>
      <c r="L207" s="2" t="s">
        <v>10</v>
      </c>
      <c r="M207" s="2" t="s">
        <v>11</v>
      </c>
      <c r="N207" s="2" t="s">
        <v>12</v>
      </c>
      <c r="O207" s="2" t="s">
        <v>13</v>
      </c>
      <c r="P207" s="2" t="s">
        <v>14</v>
      </c>
      <c r="Q207" s="3" t="s">
        <v>15</v>
      </c>
    </row>
    <row r="208" spans="2:17" ht="14.45" customHeight="1" x14ac:dyDescent="0.25">
      <c r="B208" s="141"/>
      <c r="C208" s="34">
        <v>30</v>
      </c>
      <c r="D208" s="2">
        <v>17</v>
      </c>
      <c r="E208" s="2">
        <v>1.59</v>
      </c>
      <c r="F208" s="2">
        <v>0.22</v>
      </c>
      <c r="G208" s="2">
        <v>1.23</v>
      </c>
      <c r="H208" s="2">
        <v>42</v>
      </c>
      <c r="I208" s="2">
        <v>1</v>
      </c>
      <c r="J208" s="2">
        <v>0</v>
      </c>
      <c r="K208" s="6">
        <v>0.18</v>
      </c>
      <c r="L208" s="2">
        <v>7</v>
      </c>
      <c r="M208" s="7">
        <f>(C208+H208)*E208*F208*G208*I208+J208+L208</f>
        <v>37.978287999999999</v>
      </c>
      <c r="N208" s="8">
        <f>((M208/1.2)-L208)*0.18</f>
        <v>4.4367432000000004</v>
      </c>
      <c r="O208" s="9">
        <v>0</v>
      </c>
      <c r="P208" s="8">
        <f>(1-O208)*C208*F208+D208+N208</f>
        <v>28.036743200000004</v>
      </c>
      <c r="Q208" s="36">
        <f>(M208/1.2-P208)/(M208/1.2)</f>
        <v>0.11412299996250483</v>
      </c>
    </row>
    <row r="209" spans="2:17" ht="14.45" customHeight="1" x14ac:dyDescent="0.25">
      <c r="B209" s="141"/>
      <c r="C209" s="34">
        <v>60</v>
      </c>
      <c r="D209" s="2">
        <v>17</v>
      </c>
      <c r="E209" s="2">
        <v>1.37</v>
      </c>
      <c r="F209" s="2">
        <v>0.22</v>
      </c>
      <c r="G209" s="2">
        <v>1.23</v>
      </c>
      <c r="H209" s="2">
        <v>42</v>
      </c>
      <c r="I209" s="2">
        <v>1</v>
      </c>
      <c r="J209" s="2">
        <v>0</v>
      </c>
      <c r="K209" s="6">
        <v>0.18</v>
      </c>
      <c r="L209" s="2">
        <v>10</v>
      </c>
      <c r="M209" s="7">
        <f>(C209+H209)*E209*F209*G209*I209+J209+L209</f>
        <v>47.813644000000004</v>
      </c>
      <c r="N209" s="8">
        <f>((M209/1.2)-L209)*0.18</f>
        <v>5.3720466</v>
      </c>
      <c r="O209" s="9">
        <v>0</v>
      </c>
      <c r="P209" s="8">
        <f>(1-O209)*C209*F209+D209+N209</f>
        <v>35.5720466</v>
      </c>
      <c r="Q209" s="36">
        <f>(M209/1.2-P209)/(M209/1.2)</f>
        <v>0.1072327405123107</v>
      </c>
    </row>
    <row r="210" spans="2:17" ht="14.45" customHeight="1" x14ac:dyDescent="0.25">
      <c r="B210" s="141"/>
      <c r="C210" s="34">
        <v>120</v>
      </c>
      <c r="D210" s="2">
        <v>17</v>
      </c>
      <c r="E210" s="2">
        <v>1.25</v>
      </c>
      <c r="F210" s="2">
        <v>0.22</v>
      </c>
      <c r="G210" s="2">
        <v>1.23</v>
      </c>
      <c r="H210" s="2">
        <v>42</v>
      </c>
      <c r="I210" s="2">
        <v>1</v>
      </c>
      <c r="J210" s="2">
        <v>0</v>
      </c>
      <c r="K210" s="6">
        <v>0.18</v>
      </c>
      <c r="L210" s="2">
        <v>14</v>
      </c>
      <c r="M210" s="7">
        <f>(C210+H210)*E210*F210*G210*I210+J210+L210</f>
        <v>68.796499999999995</v>
      </c>
      <c r="N210" s="8">
        <f>((M210/1.2)-L210)*0.18</f>
        <v>7.7994749999999993</v>
      </c>
      <c r="O210" s="9">
        <v>0</v>
      </c>
      <c r="P210" s="8">
        <f>(1-O210)*C210*F210+D210+N210</f>
        <v>51.199475</v>
      </c>
      <c r="Q210" s="36">
        <f>(M210/1.2-P210)/(M210/1.2)</f>
        <v>0.10694046935527241</v>
      </c>
    </row>
    <row r="211" spans="2:17" ht="14.45" customHeight="1" x14ac:dyDescent="0.25">
      <c r="B211" s="141"/>
      <c r="C211" s="34">
        <v>350</v>
      </c>
      <c r="D211" s="2">
        <v>17</v>
      </c>
      <c r="E211" s="2">
        <v>1.1399999999999999</v>
      </c>
      <c r="F211" s="2">
        <v>0.22</v>
      </c>
      <c r="G211" s="2">
        <v>1.23</v>
      </c>
      <c r="H211" s="2">
        <v>42</v>
      </c>
      <c r="I211" s="2">
        <v>1</v>
      </c>
      <c r="J211" s="2">
        <v>0</v>
      </c>
      <c r="K211" s="6">
        <v>0.18</v>
      </c>
      <c r="L211" s="2">
        <v>28</v>
      </c>
      <c r="M211" s="7">
        <f>(C211+H211)*E211*F211*G211*I211+J211+L211</f>
        <v>148.92572799999999</v>
      </c>
      <c r="N211" s="8">
        <f>((M211/1.2)-L211)*0.18</f>
        <v>17.298859199999999</v>
      </c>
      <c r="O211" s="9">
        <v>0</v>
      </c>
      <c r="P211" s="8">
        <f>(1-O211)*C211*F211+D211+N211</f>
        <v>111.2988592</v>
      </c>
      <c r="Q211" s="36">
        <f>(M211/1.2-P211)/(M211/1.2)</f>
        <v>0.10318631418743172</v>
      </c>
    </row>
    <row r="212" spans="2:17" ht="14.45" customHeight="1" x14ac:dyDescent="0.25">
      <c r="B212" s="141"/>
      <c r="C212" s="34">
        <v>500</v>
      </c>
      <c r="D212" s="2">
        <v>17</v>
      </c>
      <c r="E212" s="2">
        <v>1.1499999999999999</v>
      </c>
      <c r="F212" s="2">
        <v>0.22</v>
      </c>
      <c r="G212" s="2">
        <v>1.23</v>
      </c>
      <c r="H212" s="2">
        <v>42</v>
      </c>
      <c r="I212" s="2">
        <v>1</v>
      </c>
      <c r="J212" s="2">
        <v>0</v>
      </c>
      <c r="K212" s="6">
        <v>0.18</v>
      </c>
      <c r="L212" s="2">
        <v>33</v>
      </c>
      <c r="M212" s="7">
        <f>(C212+H212)*E212*F212*G212*I212+J212+L212</f>
        <v>201.66498000000001</v>
      </c>
      <c r="N212" s="8">
        <f>((M212/1.2)-L212)*0.18</f>
        <v>24.309747000000002</v>
      </c>
      <c r="O212" s="9">
        <v>0</v>
      </c>
      <c r="P212" s="8">
        <f>(1-O212)*C212*F212+D212+N212</f>
        <v>151.30974700000002</v>
      </c>
      <c r="Q212" s="36">
        <f>(M212/1.2-P212)/(M212/1.2)</f>
        <v>9.9636950352014531E-2</v>
      </c>
    </row>
    <row r="214" spans="2:17" ht="15.75" thickBot="1" x14ac:dyDescent="0.3"/>
    <row r="215" spans="2:17" ht="15" customHeight="1" x14ac:dyDescent="0.25">
      <c r="B215" s="118" t="s">
        <v>104</v>
      </c>
      <c r="C215" s="69" t="s">
        <v>102</v>
      </c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7"/>
    </row>
    <row r="216" spans="2:17" x14ac:dyDescent="0.25">
      <c r="B216" s="119"/>
      <c r="C216" s="28"/>
      <c r="P216" s="18"/>
    </row>
    <row r="217" spans="2:17" x14ac:dyDescent="0.25">
      <c r="B217" s="119"/>
      <c r="C217" s="28" t="s">
        <v>45</v>
      </c>
      <c r="D217" t="s">
        <v>33</v>
      </c>
      <c r="E217" t="s">
        <v>34</v>
      </c>
      <c r="F217" t="s">
        <v>35</v>
      </c>
      <c r="G217" t="s">
        <v>36</v>
      </c>
      <c r="H217" t="s">
        <v>37</v>
      </c>
      <c r="I217" t="s">
        <v>38</v>
      </c>
      <c r="J217" t="s">
        <v>39</v>
      </c>
      <c r="K217" t="s">
        <v>40</v>
      </c>
      <c r="L217" t="s">
        <v>41</v>
      </c>
      <c r="M217" t="s">
        <v>42</v>
      </c>
      <c r="N217" t="s">
        <v>43</v>
      </c>
      <c r="O217" t="s">
        <v>44</v>
      </c>
      <c r="P217" s="18" t="s">
        <v>101</v>
      </c>
    </row>
    <row r="218" spans="2:17" x14ac:dyDescent="0.25">
      <c r="B218" s="119"/>
      <c r="C218" s="28" t="s">
        <v>50</v>
      </c>
      <c r="D218">
        <v>10104</v>
      </c>
      <c r="E218" s="47">
        <v>16</v>
      </c>
      <c r="F218">
        <v>0</v>
      </c>
      <c r="G218">
        <v>1.4341999999999999</v>
      </c>
      <c r="H218">
        <v>1.23</v>
      </c>
      <c r="I218">
        <v>0</v>
      </c>
      <c r="J218" s="23">
        <f>(E218*G218*H218)-I218</f>
        <v>28.225055999999999</v>
      </c>
      <c r="K218" s="23">
        <f>J218/1.21</f>
        <v>23.326492561983471</v>
      </c>
      <c r="L218">
        <v>7</v>
      </c>
      <c r="M218" s="23">
        <f>K218*0.18</f>
        <v>4.1987686611570245</v>
      </c>
      <c r="N218" s="61">
        <f>((K218+L218)-M218-E218)/(K218+L218)</f>
        <v>0.33395632152734689</v>
      </c>
      <c r="O218" s="61">
        <f>((K218+L218/1.21)-M218-E218-F218)/(K218+L218)</f>
        <v>0.29389642899032498</v>
      </c>
      <c r="P218" s="67">
        <v>13</v>
      </c>
    </row>
    <row r="219" spans="2:17" x14ac:dyDescent="0.25">
      <c r="B219" s="119"/>
      <c r="C219" s="28" t="s">
        <v>51</v>
      </c>
      <c r="D219">
        <v>10186</v>
      </c>
      <c r="E219" s="47">
        <v>41</v>
      </c>
      <c r="F219">
        <v>0</v>
      </c>
      <c r="G219">
        <v>1.42</v>
      </c>
      <c r="H219">
        <v>1.23</v>
      </c>
      <c r="I219">
        <v>12</v>
      </c>
      <c r="J219" s="23">
        <f t="shared" ref="J219:J227" si="8">(E219*G219*H219)-I219</f>
        <v>59.610599999999991</v>
      </c>
      <c r="K219" s="23">
        <f t="shared" ref="K219:K227" si="9">J219/1.21</f>
        <v>49.264958677685946</v>
      </c>
      <c r="L219">
        <v>13</v>
      </c>
      <c r="M219" s="23">
        <f t="shared" ref="M219:M227" si="10">K219*0.18</f>
        <v>8.8676925619834694</v>
      </c>
      <c r="N219" s="61">
        <f t="shared" ref="N219:N227" si="11">((K219+L219)-M219-E219)/(K219+L219)</f>
        <v>0.1991050243826038</v>
      </c>
      <c r="O219" s="61">
        <f t="shared" ref="O219:O227" si="12">((K219+L219/1.21)-M219-E219-F219)/(K219+L219)</f>
        <v>0.16286958160673001</v>
      </c>
      <c r="P219" s="67">
        <v>11</v>
      </c>
    </row>
    <row r="220" spans="2:17" x14ac:dyDescent="0.25">
      <c r="B220" s="119"/>
      <c r="C220" s="28" t="s">
        <v>52</v>
      </c>
      <c r="D220">
        <v>110092</v>
      </c>
      <c r="E220" s="47">
        <v>66</v>
      </c>
      <c r="F220">
        <v>0</v>
      </c>
      <c r="G220">
        <v>1.42</v>
      </c>
      <c r="H220">
        <v>1.23</v>
      </c>
      <c r="I220">
        <v>18</v>
      </c>
      <c r="J220" s="23">
        <f t="shared" si="8"/>
        <v>97.275599999999997</v>
      </c>
      <c r="K220" s="23">
        <f t="shared" si="9"/>
        <v>80.393057851239675</v>
      </c>
      <c r="L220">
        <v>15</v>
      </c>
      <c r="M220" s="23">
        <f t="shared" si="10"/>
        <v>14.470750413223142</v>
      </c>
      <c r="N220" s="61">
        <f t="shared" si="11"/>
        <v>0.15642970017049945</v>
      </c>
      <c r="O220" s="61">
        <f t="shared" si="12"/>
        <v>0.1291393936873623</v>
      </c>
      <c r="P220" s="67">
        <v>11</v>
      </c>
    </row>
    <row r="221" spans="2:17" x14ac:dyDescent="0.25">
      <c r="B221" s="119"/>
      <c r="C221" s="28" t="s">
        <v>53</v>
      </c>
      <c r="D221">
        <v>110154</v>
      </c>
      <c r="E221" s="47">
        <v>100</v>
      </c>
      <c r="F221">
        <v>0</v>
      </c>
      <c r="G221">
        <v>1.42</v>
      </c>
      <c r="H221">
        <v>1.23</v>
      </c>
      <c r="I221">
        <v>28</v>
      </c>
      <c r="J221" s="23">
        <f t="shared" si="8"/>
        <v>146.66</v>
      </c>
      <c r="K221" s="23">
        <f t="shared" si="9"/>
        <v>121.20661157024793</v>
      </c>
      <c r="L221">
        <v>30</v>
      </c>
      <c r="M221" s="23">
        <f t="shared" si="10"/>
        <v>21.817190082644625</v>
      </c>
      <c r="N221" s="61">
        <f t="shared" si="11"/>
        <v>0.19436598163533009</v>
      </c>
      <c r="O221" s="61">
        <f t="shared" si="12"/>
        <v>0.15993222562308701</v>
      </c>
      <c r="P221" s="67">
        <v>1</v>
      </c>
    </row>
    <row r="222" spans="2:17" x14ac:dyDescent="0.25">
      <c r="B222" s="119"/>
      <c r="C222" s="28" t="s">
        <v>54</v>
      </c>
      <c r="D222">
        <v>140216</v>
      </c>
      <c r="E222" s="47">
        <v>140</v>
      </c>
      <c r="F222">
        <v>0</v>
      </c>
      <c r="G222">
        <v>1.42</v>
      </c>
      <c r="H222">
        <v>1.23</v>
      </c>
      <c r="I222">
        <v>35</v>
      </c>
      <c r="J222" s="23">
        <f t="shared" si="8"/>
        <v>209.52399999999997</v>
      </c>
      <c r="K222" s="23">
        <f t="shared" si="9"/>
        <v>173.16033057851237</v>
      </c>
      <c r="L222">
        <v>38</v>
      </c>
      <c r="M222" s="23">
        <f t="shared" si="10"/>
        <v>31.168859504132225</v>
      </c>
      <c r="N222" s="61">
        <f t="shared" si="11"/>
        <v>0.18938912893731596</v>
      </c>
      <c r="O222" s="61">
        <f t="shared" si="12"/>
        <v>0.15815674118604789</v>
      </c>
      <c r="P222" s="67">
        <v>4</v>
      </c>
    </row>
    <row r="223" spans="2:17" x14ac:dyDescent="0.25">
      <c r="B223" s="119"/>
      <c r="C223" s="28" t="s">
        <v>55</v>
      </c>
      <c r="D223">
        <v>141393</v>
      </c>
      <c r="E223" s="47">
        <v>180</v>
      </c>
      <c r="F223">
        <v>0</v>
      </c>
      <c r="G223">
        <v>1.42</v>
      </c>
      <c r="H223">
        <v>1.23</v>
      </c>
      <c r="I223">
        <v>44</v>
      </c>
      <c r="J223" s="23">
        <f t="shared" si="8"/>
        <v>270.38799999999998</v>
      </c>
      <c r="K223" s="23">
        <f t="shared" si="9"/>
        <v>223.46115702479338</v>
      </c>
      <c r="L223">
        <v>45</v>
      </c>
      <c r="M223" s="23">
        <f t="shared" si="10"/>
        <v>40.223008264462806</v>
      </c>
      <c r="N223" s="61">
        <f t="shared" si="11"/>
        <v>0.17968390397675138</v>
      </c>
      <c r="O223" s="61">
        <f t="shared" si="12"/>
        <v>0.15059247994384903</v>
      </c>
      <c r="P223" s="67">
        <v>5</v>
      </c>
    </row>
    <row r="224" spans="2:17" x14ac:dyDescent="0.25">
      <c r="B224" s="119"/>
      <c r="C224" s="28" t="s">
        <v>56</v>
      </c>
      <c r="D224">
        <v>141739</v>
      </c>
      <c r="E224" s="47">
        <v>220</v>
      </c>
      <c r="F224">
        <v>0</v>
      </c>
      <c r="G224">
        <v>1.42</v>
      </c>
      <c r="H224">
        <v>1.23</v>
      </c>
      <c r="I224">
        <v>52</v>
      </c>
      <c r="J224" s="23">
        <f t="shared" si="8"/>
        <v>332.25199999999995</v>
      </c>
      <c r="K224" s="23">
        <f t="shared" si="9"/>
        <v>274.58842975206608</v>
      </c>
      <c r="L224">
        <v>56</v>
      </c>
      <c r="M224" s="23">
        <f t="shared" si="10"/>
        <v>49.425917355371894</v>
      </c>
      <c r="N224" s="61">
        <f t="shared" si="11"/>
        <v>0.18501104966850987</v>
      </c>
      <c r="O224" s="61">
        <f t="shared" si="12"/>
        <v>0.15561193164205073</v>
      </c>
      <c r="P224" s="67">
        <v>5</v>
      </c>
    </row>
    <row r="225" spans="2:16" x14ac:dyDescent="0.25">
      <c r="B225" s="119"/>
      <c r="C225" s="28" t="s">
        <v>57</v>
      </c>
      <c r="D225">
        <v>3053220</v>
      </c>
      <c r="E225" s="47">
        <v>260</v>
      </c>
      <c r="F225">
        <v>0</v>
      </c>
      <c r="G225">
        <v>1.42</v>
      </c>
      <c r="H225">
        <v>1.23</v>
      </c>
      <c r="I225">
        <v>61</v>
      </c>
      <c r="J225" s="23">
        <f t="shared" si="8"/>
        <v>393.11599999999999</v>
      </c>
      <c r="K225" s="23">
        <f t="shared" si="9"/>
        <v>324.88925619834708</v>
      </c>
      <c r="L225">
        <v>67</v>
      </c>
      <c r="M225" s="23">
        <f t="shared" si="10"/>
        <v>58.480066115702471</v>
      </c>
      <c r="N225" s="61">
        <f t="shared" si="11"/>
        <v>0.18732126212077116</v>
      </c>
      <c r="O225" s="61">
        <f t="shared" si="12"/>
        <v>0.15764936122112416</v>
      </c>
      <c r="P225" s="67">
        <v>5</v>
      </c>
    </row>
    <row r="226" spans="2:16" x14ac:dyDescent="0.25">
      <c r="B226" s="119"/>
      <c r="C226" s="28" t="s">
        <v>58</v>
      </c>
      <c r="D226">
        <v>3087090</v>
      </c>
      <c r="E226" s="47">
        <v>410</v>
      </c>
      <c r="F226">
        <v>0</v>
      </c>
      <c r="G226">
        <v>1.42</v>
      </c>
      <c r="H226">
        <v>1.23</v>
      </c>
      <c r="I226">
        <v>70</v>
      </c>
      <c r="J226" s="23">
        <f t="shared" si="8"/>
        <v>646.10599999999988</v>
      </c>
      <c r="K226" s="23">
        <f t="shared" si="9"/>
        <v>533.97190082644624</v>
      </c>
      <c r="L226">
        <v>78</v>
      </c>
      <c r="M226" s="23">
        <f t="shared" si="10"/>
        <v>96.114942148760321</v>
      </c>
      <c r="N226" s="61">
        <f t="shared" si="11"/>
        <v>0.17297682873140074</v>
      </c>
      <c r="O226" s="61">
        <f t="shared" si="12"/>
        <v>0.15085622145455818</v>
      </c>
      <c r="P226" s="67">
        <v>5</v>
      </c>
    </row>
    <row r="227" spans="2:16" x14ac:dyDescent="0.25">
      <c r="B227" s="119"/>
      <c r="C227" s="28" t="s">
        <v>59</v>
      </c>
      <c r="D227">
        <v>3098005</v>
      </c>
      <c r="E227" s="47">
        <v>900</v>
      </c>
      <c r="F227">
        <v>0</v>
      </c>
      <c r="G227">
        <v>1.42</v>
      </c>
      <c r="H227">
        <v>1.23</v>
      </c>
      <c r="I227">
        <v>94</v>
      </c>
      <c r="J227" s="23">
        <f t="shared" si="8"/>
        <v>1477.94</v>
      </c>
      <c r="K227" s="23">
        <f t="shared" si="9"/>
        <v>1221.4380165289258</v>
      </c>
      <c r="L227">
        <v>90</v>
      </c>
      <c r="M227" s="23">
        <f t="shared" si="10"/>
        <v>219.85884297520664</v>
      </c>
      <c r="N227" s="61">
        <f t="shared" si="11"/>
        <v>0.14608328501928367</v>
      </c>
      <c r="O227" s="61">
        <f t="shared" si="12"/>
        <v>0.13417282145647957</v>
      </c>
      <c r="P227" s="67">
        <v>5</v>
      </c>
    </row>
    <row r="228" spans="2:16" ht="15.75" thickBot="1" x14ac:dyDescent="0.3">
      <c r="B228" s="119"/>
      <c r="C228" s="29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68"/>
    </row>
    <row r="229" spans="2:16" x14ac:dyDescent="0.25">
      <c r="B229" s="119"/>
      <c r="P229" s="67"/>
    </row>
    <row r="230" spans="2:16" x14ac:dyDescent="0.25">
      <c r="B230" s="119"/>
      <c r="C230" t="s">
        <v>103</v>
      </c>
      <c r="P230" s="67"/>
    </row>
    <row r="231" spans="2:16" x14ac:dyDescent="0.25">
      <c r="B231" s="119"/>
      <c r="P231" s="67"/>
    </row>
    <row r="232" spans="2:16" x14ac:dyDescent="0.25">
      <c r="B232" s="119"/>
      <c r="I232" t="s">
        <v>49</v>
      </c>
      <c r="P232" s="67"/>
    </row>
    <row r="233" spans="2:16" x14ac:dyDescent="0.25">
      <c r="B233" s="119"/>
      <c r="C233" t="s">
        <v>45</v>
      </c>
      <c r="D233" t="s">
        <v>33</v>
      </c>
      <c r="E233" t="s">
        <v>34</v>
      </c>
      <c r="F233" t="s">
        <v>35</v>
      </c>
      <c r="G233" t="s">
        <v>36</v>
      </c>
      <c r="H233" t="s">
        <v>37</v>
      </c>
      <c r="I233" t="s">
        <v>46</v>
      </c>
      <c r="J233" t="s">
        <v>39</v>
      </c>
      <c r="K233" t="s">
        <v>40</v>
      </c>
      <c r="L233" t="s">
        <v>41</v>
      </c>
      <c r="M233" t="s">
        <v>42</v>
      </c>
      <c r="N233" t="s">
        <v>43</v>
      </c>
      <c r="O233" t="s">
        <v>44</v>
      </c>
      <c r="P233" s="67"/>
    </row>
    <row r="234" spans="2:16" x14ac:dyDescent="0.25">
      <c r="B234" s="119"/>
      <c r="C234" t="s">
        <v>50</v>
      </c>
      <c r="D234">
        <v>180052</v>
      </c>
      <c r="E234" s="47">
        <v>16</v>
      </c>
      <c r="F234">
        <v>0</v>
      </c>
      <c r="G234">
        <v>1.32</v>
      </c>
      <c r="H234">
        <v>1.23</v>
      </c>
      <c r="I234">
        <v>0</v>
      </c>
      <c r="J234" s="23">
        <f>(E234*G234*H234)-I234</f>
        <v>25.977600000000002</v>
      </c>
      <c r="K234" s="23">
        <f>J234/1.21</f>
        <v>21.469090909090912</v>
      </c>
      <c r="L234">
        <v>6</v>
      </c>
      <c r="M234" s="23">
        <f>K234*0.18</f>
        <v>3.8644363636363641</v>
      </c>
      <c r="N234" s="61">
        <f>((K234+L234)-M234-E234)/(K234+L234)</f>
        <v>0.2768440561292031</v>
      </c>
      <c r="O234" s="61">
        <f>((K234+L234/1.21)-M234-E234-F234)/(K234+L234)</f>
        <v>0.23893518184225096</v>
      </c>
      <c r="P234" s="67">
        <v>19</v>
      </c>
    </row>
    <row r="235" spans="2:16" x14ac:dyDescent="0.25">
      <c r="B235" s="119"/>
      <c r="C235" t="s">
        <v>51</v>
      </c>
      <c r="D235">
        <v>311751</v>
      </c>
      <c r="E235" s="47">
        <v>41</v>
      </c>
      <c r="F235">
        <v>0</v>
      </c>
      <c r="G235">
        <v>1.32</v>
      </c>
      <c r="H235">
        <v>1.23</v>
      </c>
      <c r="I235">
        <v>9</v>
      </c>
      <c r="J235" s="23">
        <f>(E235*G235*H235)-I235</f>
        <v>57.567599999999999</v>
      </c>
      <c r="K235" s="23">
        <f t="shared" ref="K235:K243" si="13">J235/1.21</f>
        <v>47.576528925619833</v>
      </c>
      <c r="L235">
        <v>14</v>
      </c>
      <c r="M235" s="23">
        <f t="shared" ref="M235:M243" si="14">K235*0.18</f>
        <v>8.5637752066115702</v>
      </c>
      <c r="N235" s="61">
        <f t="shared" ref="N235:N243" si="15">((K235+L235)-M235-E235)/(K235+L235)</f>
        <v>0.19508656835007426</v>
      </c>
      <c r="O235" s="61">
        <f t="shared" ref="O235:O243" si="16">((K235+L235/1.21)-M235-E235-F235)/(K235+L235)</f>
        <v>0.1556275064557173</v>
      </c>
      <c r="P235" s="67">
        <v>19</v>
      </c>
    </row>
    <row r="236" spans="2:16" x14ac:dyDescent="0.25">
      <c r="B236" s="119"/>
      <c r="C236" t="s">
        <v>52</v>
      </c>
      <c r="D236">
        <v>10104</v>
      </c>
      <c r="E236" s="47">
        <v>66</v>
      </c>
      <c r="F236">
        <v>0</v>
      </c>
      <c r="G236">
        <v>1.32</v>
      </c>
      <c r="H236">
        <v>1.23</v>
      </c>
      <c r="I236">
        <v>13</v>
      </c>
      <c r="J236" s="23">
        <f t="shared" ref="J236:J243" si="17">(E236*G236*H236)-I236</f>
        <v>94.157600000000002</v>
      </c>
      <c r="K236" s="23">
        <f t="shared" si="13"/>
        <v>77.816198347107445</v>
      </c>
      <c r="L236">
        <v>14</v>
      </c>
      <c r="M236" s="23">
        <f t="shared" si="14"/>
        <v>14.00691570247934</v>
      </c>
      <c r="N236" s="61">
        <f t="shared" si="15"/>
        <v>0.12861872803732932</v>
      </c>
      <c r="O236" s="61">
        <f t="shared" si="16"/>
        <v>0.10215551011002942</v>
      </c>
      <c r="P236" s="67">
        <v>21</v>
      </c>
    </row>
    <row r="237" spans="2:16" x14ac:dyDescent="0.25">
      <c r="B237" s="119"/>
      <c r="C237" t="s">
        <v>53</v>
      </c>
      <c r="D237">
        <v>10186</v>
      </c>
      <c r="E237" s="47">
        <v>100</v>
      </c>
      <c r="F237">
        <v>0</v>
      </c>
      <c r="G237">
        <v>1.32</v>
      </c>
      <c r="H237">
        <v>1.23</v>
      </c>
      <c r="I237">
        <v>19</v>
      </c>
      <c r="J237" s="23">
        <f t="shared" si="17"/>
        <v>143.35999999999999</v>
      </c>
      <c r="K237" s="23">
        <f t="shared" si="13"/>
        <v>118.4793388429752</v>
      </c>
      <c r="L237">
        <v>30</v>
      </c>
      <c r="M237" s="23">
        <f t="shared" si="14"/>
        <v>21.326280991735533</v>
      </c>
      <c r="N237" s="61">
        <f t="shared" si="15"/>
        <v>0.18287431815651795</v>
      </c>
      <c r="O237" s="61">
        <f t="shared" si="16"/>
        <v>0.14780808193253914</v>
      </c>
      <c r="P237" s="67">
        <v>25</v>
      </c>
    </row>
    <row r="238" spans="2:16" x14ac:dyDescent="0.25">
      <c r="B238" s="119"/>
      <c r="C238" t="s">
        <v>54</v>
      </c>
      <c r="D238">
        <v>319173</v>
      </c>
      <c r="E238" s="47">
        <v>140</v>
      </c>
      <c r="F238">
        <v>0</v>
      </c>
      <c r="G238">
        <v>1.32</v>
      </c>
      <c r="H238">
        <v>1.23</v>
      </c>
      <c r="I238">
        <v>25</v>
      </c>
      <c r="J238" s="23">
        <f t="shared" si="17"/>
        <v>202.304</v>
      </c>
      <c r="K238" s="23">
        <f t="shared" si="13"/>
        <v>167.19338842975208</v>
      </c>
      <c r="L238">
        <v>37</v>
      </c>
      <c r="M238" s="23">
        <f t="shared" si="14"/>
        <v>30.094809917355374</v>
      </c>
      <c r="N238" s="61">
        <f t="shared" si="15"/>
        <v>0.16699158956426011</v>
      </c>
      <c r="O238" s="61">
        <f t="shared" si="16"/>
        <v>0.1355435213741632</v>
      </c>
      <c r="P238" s="67">
        <v>30</v>
      </c>
    </row>
    <row r="239" spans="2:16" x14ac:dyDescent="0.25">
      <c r="B239" s="119"/>
      <c r="C239" t="s">
        <v>55</v>
      </c>
      <c r="D239">
        <v>170409</v>
      </c>
      <c r="E239" s="47">
        <v>180</v>
      </c>
      <c r="F239">
        <v>0</v>
      </c>
      <c r="G239">
        <v>1.32</v>
      </c>
      <c r="H239">
        <v>1.23</v>
      </c>
      <c r="I239">
        <v>30</v>
      </c>
      <c r="J239" s="23">
        <f t="shared" si="17"/>
        <v>262.24800000000005</v>
      </c>
      <c r="K239" s="23">
        <f t="shared" si="13"/>
        <v>216.73388429752072</v>
      </c>
      <c r="L239">
        <v>45</v>
      </c>
      <c r="M239" s="23">
        <f t="shared" si="14"/>
        <v>39.012099173553729</v>
      </c>
      <c r="N239" s="61">
        <f t="shared" si="15"/>
        <v>0.16322603868669849</v>
      </c>
      <c r="O239" s="61">
        <f t="shared" si="16"/>
        <v>0.13338688592918183</v>
      </c>
      <c r="P239" s="67">
        <v>35</v>
      </c>
    </row>
    <row r="240" spans="2:16" x14ac:dyDescent="0.25">
      <c r="B240" s="119"/>
      <c r="C240" t="s">
        <v>56</v>
      </c>
      <c r="D240">
        <v>110092</v>
      </c>
      <c r="E240" s="47">
        <v>220</v>
      </c>
      <c r="F240">
        <v>0</v>
      </c>
      <c r="G240">
        <v>1.32</v>
      </c>
      <c r="H240">
        <v>1.23</v>
      </c>
      <c r="I240">
        <v>35</v>
      </c>
      <c r="J240" s="23">
        <f t="shared" si="17"/>
        <v>322.19200000000006</v>
      </c>
      <c r="K240" s="23">
        <f t="shared" si="13"/>
        <v>266.2743801652893</v>
      </c>
      <c r="L240">
        <v>51</v>
      </c>
      <c r="M240" s="23">
        <f t="shared" si="14"/>
        <v>47.929388429752073</v>
      </c>
      <c r="N240" s="61">
        <f t="shared" si="15"/>
        <v>0.15552781699496238</v>
      </c>
      <c r="O240" s="61">
        <f t="shared" si="16"/>
        <v>0.12763007225802431</v>
      </c>
      <c r="P240" s="67">
        <v>40</v>
      </c>
    </row>
    <row r="241" spans="2:16" x14ac:dyDescent="0.25">
      <c r="B241" s="119"/>
      <c r="C241" t="s">
        <v>57</v>
      </c>
      <c r="D241">
        <v>3074542</v>
      </c>
      <c r="E241" s="47">
        <v>260</v>
      </c>
      <c r="F241">
        <v>0</v>
      </c>
      <c r="G241">
        <v>1.32</v>
      </c>
      <c r="H241">
        <v>1.23</v>
      </c>
      <c r="I241">
        <v>40</v>
      </c>
      <c r="J241" s="23">
        <f t="shared" si="17"/>
        <v>382.13599999999997</v>
      </c>
      <c r="K241" s="23">
        <f t="shared" si="13"/>
        <v>315.81487603305783</v>
      </c>
      <c r="L241">
        <v>61</v>
      </c>
      <c r="M241" s="23">
        <f t="shared" si="14"/>
        <v>56.846677685950404</v>
      </c>
      <c r="N241" s="61">
        <f t="shared" si="15"/>
        <v>0.15914498646769573</v>
      </c>
      <c r="O241" s="61">
        <f t="shared" si="16"/>
        <v>0.13104955411386432</v>
      </c>
      <c r="P241" s="67">
        <v>45</v>
      </c>
    </row>
    <row r="242" spans="2:16" x14ac:dyDescent="0.25">
      <c r="B242" s="119"/>
      <c r="C242" t="s">
        <v>58</v>
      </c>
      <c r="D242">
        <v>110154</v>
      </c>
      <c r="E242" s="47">
        <v>410</v>
      </c>
      <c r="F242">
        <v>0</v>
      </c>
      <c r="G242">
        <v>1.32</v>
      </c>
      <c r="H242">
        <v>1.23</v>
      </c>
      <c r="I242">
        <v>48</v>
      </c>
      <c r="J242" s="23">
        <f t="shared" si="17"/>
        <v>617.67600000000004</v>
      </c>
      <c r="K242" s="23">
        <f t="shared" si="13"/>
        <v>510.47603305785128</v>
      </c>
      <c r="L242">
        <v>71</v>
      </c>
      <c r="M242" s="23">
        <f t="shared" si="14"/>
        <v>91.885685950413233</v>
      </c>
      <c r="N242" s="61">
        <f t="shared" si="15"/>
        <v>0.13687640174761867</v>
      </c>
      <c r="O242" s="61">
        <f t="shared" si="16"/>
        <v>0.11568496246372158</v>
      </c>
      <c r="P242" s="67">
        <v>50</v>
      </c>
    </row>
    <row r="243" spans="2:16" ht="15.75" thickBot="1" x14ac:dyDescent="0.3">
      <c r="B243" s="120"/>
      <c r="C243" s="30" t="s">
        <v>59</v>
      </c>
      <c r="D243" s="30">
        <v>141739</v>
      </c>
      <c r="E243" s="63">
        <v>900</v>
      </c>
      <c r="F243" s="30">
        <v>0</v>
      </c>
      <c r="G243" s="30">
        <v>1.32</v>
      </c>
      <c r="H243" s="30">
        <v>1.23</v>
      </c>
      <c r="I243" s="30">
        <v>55</v>
      </c>
      <c r="J243" s="64">
        <f t="shared" si="17"/>
        <v>1406.24</v>
      </c>
      <c r="K243" s="64">
        <f t="shared" si="13"/>
        <v>1162.1818181818182</v>
      </c>
      <c r="L243" s="30">
        <v>91</v>
      </c>
      <c r="M243" s="64">
        <f t="shared" si="14"/>
        <v>209.19272727272727</v>
      </c>
      <c r="N243" s="65">
        <f t="shared" si="15"/>
        <v>0.11489880304679</v>
      </c>
      <c r="O243" s="65">
        <f t="shared" si="16"/>
        <v>0.10229617172816309</v>
      </c>
      <c r="P243" s="68">
        <v>50</v>
      </c>
    </row>
    <row r="244" spans="2:16" ht="15.75" thickBot="1" x14ac:dyDescent="0.3"/>
    <row r="245" spans="2:16" ht="15" customHeight="1" x14ac:dyDescent="0.25">
      <c r="B245" s="118" t="s">
        <v>105</v>
      </c>
      <c r="C245" s="69" t="s">
        <v>102</v>
      </c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7"/>
    </row>
    <row r="246" spans="2:16" x14ac:dyDescent="0.25">
      <c r="B246" s="119"/>
      <c r="C246" s="28"/>
      <c r="P246" s="18"/>
    </row>
    <row r="247" spans="2:16" x14ac:dyDescent="0.25">
      <c r="B247" s="119"/>
      <c r="C247" s="28" t="s">
        <v>45</v>
      </c>
      <c r="D247" t="s">
        <v>33</v>
      </c>
      <c r="E247" t="s">
        <v>34</v>
      </c>
      <c r="F247" t="s">
        <v>35</v>
      </c>
      <c r="G247" t="s">
        <v>36</v>
      </c>
      <c r="H247" t="s">
        <v>37</v>
      </c>
      <c r="I247" t="s">
        <v>38</v>
      </c>
      <c r="J247" t="s">
        <v>39</v>
      </c>
      <c r="K247" t="s">
        <v>40</v>
      </c>
      <c r="L247" t="s">
        <v>41</v>
      </c>
      <c r="M247" t="s">
        <v>42</v>
      </c>
      <c r="N247" t="s">
        <v>43</v>
      </c>
      <c r="O247" t="s">
        <v>44</v>
      </c>
      <c r="P247" s="18"/>
    </row>
    <row r="248" spans="2:16" x14ac:dyDescent="0.25">
      <c r="B248" s="119"/>
      <c r="C248" s="28" t="s">
        <v>50</v>
      </c>
      <c r="D248">
        <v>10104</v>
      </c>
      <c r="E248" s="47">
        <v>16</v>
      </c>
      <c r="F248">
        <v>16.899999999999999</v>
      </c>
      <c r="G248">
        <v>1.4341999999999999</v>
      </c>
      <c r="H248">
        <v>1.23</v>
      </c>
      <c r="I248">
        <v>0</v>
      </c>
      <c r="J248" s="23">
        <f>(E248*G248*H248)-I248</f>
        <v>28.225055999999999</v>
      </c>
      <c r="K248" s="23">
        <f>J248/1.21</f>
        <v>23.326492561983471</v>
      </c>
      <c r="L248" s="47">
        <v>25</v>
      </c>
      <c r="M248" s="23">
        <f>K248*0.18</f>
        <v>4.1987686611570245</v>
      </c>
      <c r="N248" s="61">
        <f>((K248+L248)-M248-E248)/(K248+L248)</f>
        <v>0.58203528560964524</v>
      </c>
      <c r="O248" s="61">
        <f>((K248+L248/1.21)-M248-E248-F248)/(K248+L248)</f>
        <v>0.1425487462551554</v>
      </c>
      <c r="P248" s="67">
        <f t="shared" ref="P248:P257" si="18">L248-L218</f>
        <v>18</v>
      </c>
    </row>
    <row r="249" spans="2:16" x14ac:dyDescent="0.25">
      <c r="B249" s="119"/>
      <c r="C249" s="28" t="s">
        <v>51</v>
      </c>
      <c r="D249">
        <v>10186</v>
      </c>
      <c r="E249" s="47">
        <v>41</v>
      </c>
      <c r="F249">
        <v>24.42</v>
      </c>
      <c r="G249">
        <v>1.42</v>
      </c>
      <c r="H249">
        <v>1.23</v>
      </c>
      <c r="I249">
        <v>12</v>
      </c>
      <c r="J249" s="23">
        <f t="shared" ref="J249:J257" si="19">(E249*G249*H249)-I249</f>
        <v>59.610599999999991</v>
      </c>
      <c r="K249" s="23">
        <f t="shared" ref="K249:K257" si="20">J249/1.21</f>
        <v>49.264958677685946</v>
      </c>
      <c r="L249" s="47">
        <v>40</v>
      </c>
      <c r="M249" s="23">
        <f t="shared" ref="M249:M257" si="21">K249*0.18</f>
        <v>8.8676925619834694</v>
      </c>
      <c r="N249" s="61">
        <f t="shared" ref="N249:N257" si="22">((K249+L249)-M249-E249)/(K249+L249)</f>
        <v>0.44135197841693302</v>
      </c>
      <c r="O249" s="61">
        <f t="shared" ref="O249:O257" si="23">((K249+L249/1.21)-M249-E249-F249)/(K249+L249)</f>
        <v>9.0014239343175526E-2</v>
      </c>
      <c r="P249" s="67">
        <f t="shared" si="18"/>
        <v>27</v>
      </c>
    </row>
    <row r="250" spans="2:16" x14ac:dyDescent="0.25">
      <c r="B250" s="119"/>
      <c r="C250" s="28" t="s">
        <v>52</v>
      </c>
      <c r="D250">
        <v>110092</v>
      </c>
      <c r="E250" s="47">
        <v>66</v>
      </c>
      <c r="F250">
        <v>31.93</v>
      </c>
      <c r="G250">
        <v>1.42</v>
      </c>
      <c r="H250">
        <v>1.23</v>
      </c>
      <c r="I250">
        <v>18</v>
      </c>
      <c r="J250" s="23">
        <f t="shared" si="19"/>
        <v>97.275599999999997</v>
      </c>
      <c r="K250" s="23">
        <f t="shared" si="20"/>
        <v>80.393057851239675</v>
      </c>
      <c r="L250" s="47">
        <v>54</v>
      </c>
      <c r="M250" s="23">
        <f t="shared" si="21"/>
        <v>14.470750413223142</v>
      </c>
      <c r="N250" s="61">
        <f t="shared" si="22"/>
        <v>0.40122836923394811</v>
      </c>
      <c r="O250" s="61">
        <f t="shared" si="23"/>
        <v>9.3906685459451633E-2</v>
      </c>
      <c r="P250" s="67">
        <f t="shared" si="18"/>
        <v>39</v>
      </c>
    </row>
    <row r="251" spans="2:16" x14ac:dyDescent="0.25">
      <c r="B251" s="119"/>
      <c r="C251" s="28" t="s">
        <v>53</v>
      </c>
      <c r="D251">
        <v>110154</v>
      </c>
      <c r="E251" s="47">
        <v>100</v>
      </c>
      <c r="F251">
        <v>39.44</v>
      </c>
      <c r="G251">
        <v>1.42</v>
      </c>
      <c r="H251">
        <v>1.23</v>
      </c>
      <c r="I251">
        <v>28</v>
      </c>
      <c r="J251" s="23">
        <f t="shared" si="19"/>
        <v>146.66</v>
      </c>
      <c r="K251" s="23">
        <f t="shared" si="20"/>
        <v>121.20661157024793</v>
      </c>
      <c r="L251" s="47">
        <v>70</v>
      </c>
      <c r="M251" s="23">
        <f t="shared" si="21"/>
        <v>21.817190082644625</v>
      </c>
      <c r="N251" s="61">
        <f t="shared" si="22"/>
        <v>0.3629028354080221</v>
      </c>
      <c r="O251" s="61">
        <f t="shared" si="23"/>
        <v>9.309647302904564E-2</v>
      </c>
      <c r="P251" s="67">
        <f t="shared" si="18"/>
        <v>40</v>
      </c>
    </row>
    <row r="252" spans="2:16" x14ac:dyDescent="0.25">
      <c r="B252" s="119"/>
      <c r="C252" s="28" t="s">
        <v>54</v>
      </c>
      <c r="D252">
        <v>140216</v>
      </c>
      <c r="E252" s="47">
        <v>140</v>
      </c>
      <c r="F252">
        <v>46.95</v>
      </c>
      <c r="G252">
        <v>1.42</v>
      </c>
      <c r="H252">
        <v>1.23</v>
      </c>
      <c r="I252">
        <v>35</v>
      </c>
      <c r="J252" s="23">
        <f t="shared" si="19"/>
        <v>209.52399999999997</v>
      </c>
      <c r="K252" s="23">
        <f t="shared" si="20"/>
        <v>173.16033057851237</v>
      </c>
      <c r="L252" s="47">
        <v>80</v>
      </c>
      <c r="M252" s="23">
        <f t="shared" si="21"/>
        <v>31.168859504132225</v>
      </c>
      <c r="N252" s="61">
        <f t="shared" si="22"/>
        <v>0.32387171752784627</v>
      </c>
      <c r="O252" s="61">
        <f t="shared" si="23"/>
        <v>8.3572230709967221E-2</v>
      </c>
      <c r="P252" s="67">
        <f t="shared" si="18"/>
        <v>42</v>
      </c>
    </row>
    <row r="253" spans="2:16" x14ac:dyDescent="0.25">
      <c r="B253" s="119"/>
      <c r="C253" s="28" t="s">
        <v>55</v>
      </c>
      <c r="D253">
        <v>141393</v>
      </c>
      <c r="E253" s="47">
        <v>180</v>
      </c>
      <c r="F253">
        <v>54.46</v>
      </c>
      <c r="G253">
        <v>1.42</v>
      </c>
      <c r="H253">
        <v>1.23</v>
      </c>
      <c r="I253">
        <v>44</v>
      </c>
      <c r="J253" s="23">
        <f t="shared" si="19"/>
        <v>270.38799999999998</v>
      </c>
      <c r="K253" s="23">
        <f t="shared" si="20"/>
        <v>223.46115702479338</v>
      </c>
      <c r="L253" s="47">
        <v>100</v>
      </c>
      <c r="M253" s="23">
        <f t="shared" si="21"/>
        <v>40.223008264462806</v>
      </c>
      <c r="N253" s="61">
        <f t="shared" si="22"/>
        <v>0.31916706695146496</v>
      </c>
      <c r="O253" s="61">
        <f t="shared" si="23"/>
        <v>9.7145441352315356E-2</v>
      </c>
      <c r="P253" s="67">
        <f t="shared" si="18"/>
        <v>55</v>
      </c>
    </row>
    <row r="254" spans="2:16" x14ac:dyDescent="0.25">
      <c r="B254" s="119"/>
      <c r="C254" s="28" t="s">
        <v>56</v>
      </c>
      <c r="D254">
        <v>141739</v>
      </c>
      <c r="E254" s="47">
        <v>220</v>
      </c>
      <c r="F254">
        <v>61.97</v>
      </c>
      <c r="G254">
        <v>1.42</v>
      </c>
      <c r="H254">
        <v>1.23</v>
      </c>
      <c r="I254">
        <v>52</v>
      </c>
      <c r="J254" s="23">
        <f t="shared" si="19"/>
        <v>332.25199999999995</v>
      </c>
      <c r="K254" s="23">
        <f t="shared" si="20"/>
        <v>274.58842975206608</v>
      </c>
      <c r="L254" s="47">
        <v>110</v>
      </c>
      <c r="M254" s="23">
        <f t="shared" si="21"/>
        <v>49.425917355371894</v>
      </c>
      <c r="N254" s="61">
        <f t="shared" si="22"/>
        <v>0.29944351802506486</v>
      </c>
      <c r="O254" s="61">
        <f t="shared" si="23"/>
        <v>8.8670382849971488E-2</v>
      </c>
      <c r="P254" s="67">
        <f t="shared" si="18"/>
        <v>54</v>
      </c>
    </row>
    <row r="255" spans="2:16" x14ac:dyDescent="0.25">
      <c r="B255" s="119"/>
      <c r="C255" s="28" t="s">
        <v>57</v>
      </c>
      <c r="D255">
        <v>3053220</v>
      </c>
      <c r="E255" s="47">
        <v>260</v>
      </c>
      <c r="F255">
        <v>69.489999999999995</v>
      </c>
      <c r="G255">
        <v>1.42</v>
      </c>
      <c r="H255">
        <v>1.23</v>
      </c>
      <c r="I255">
        <v>61</v>
      </c>
      <c r="J255" s="23">
        <f t="shared" si="19"/>
        <v>393.11599999999999</v>
      </c>
      <c r="K255" s="23">
        <f t="shared" si="20"/>
        <v>324.88925619834708</v>
      </c>
      <c r="L255" s="47">
        <v>125</v>
      </c>
      <c r="M255" s="23">
        <f t="shared" si="21"/>
        <v>58.480066115702471</v>
      </c>
      <c r="N255" s="61">
        <f t="shared" si="22"/>
        <v>0.2920923055444315</v>
      </c>
      <c r="O255" s="61">
        <f t="shared" si="23"/>
        <v>8.9410837561493511E-2</v>
      </c>
      <c r="P255" s="67">
        <f t="shared" si="18"/>
        <v>58</v>
      </c>
    </row>
    <row r="256" spans="2:16" x14ac:dyDescent="0.25">
      <c r="B256" s="119"/>
      <c r="C256" s="28" t="s">
        <v>58</v>
      </c>
      <c r="D256">
        <v>3087090</v>
      </c>
      <c r="E256" s="47">
        <v>410</v>
      </c>
      <c r="F256">
        <v>77</v>
      </c>
      <c r="G256">
        <v>1.42</v>
      </c>
      <c r="H256">
        <v>1.23</v>
      </c>
      <c r="I256">
        <v>70</v>
      </c>
      <c r="J256" s="23">
        <f t="shared" si="19"/>
        <v>646.10599999999988</v>
      </c>
      <c r="K256" s="23">
        <f t="shared" si="20"/>
        <v>533.97190082644624</v>
      </c>
      <c r="L256" s="47">
        <v>125</v>
      </c>
      <c r="M256" s="23">
        <f t="shared" si="21"/>
        <v>96.114942148760321</v>
      </c>
      <c r="N256" s="61">
        <f t="shared" si="22"/>
        <v>0.23196278701107162</v>
      </c>
      <c r="O256" s="61">
        <f t="shared" si="23"/>
        <v>8.2192797194728648E-2</v>
      </c>
      <c r="P256" s="67">
        <f t="shared" si="18"/>
        <v>47</v>
      </c>
    </row>
    <row r="257" spans="2:16" x14ac:dyDescent="0.25">
      <c r="B257" s="119"/>
      <c r="C257" s="28" t="s">
        <v>59</v>
      </c>
      <c r="D257">
        <v>3098005</v>
      </c>
      <c r="E257" s="47">
        <v>900</v>
      </c>
      <c r="F257">
        <v>84.51</v>
      </c>
      <c r="G257">
        <v>1.42</v>
      </c>
      <c r="H257">
        <v>1.23</v>
      </c>
      <c r="I257">
        <v>94</v>
      </c>
      <c r="J257" s="23">
        <f t="shared" si="19"/>
        <v>1477.94</v>
      </c>
      <c r="K257" s="23">
        <f t="shared" si="20"/>
        <v>1221.4380165289258</v>
      </c>
      <c r="L257" s="47">
        <v>130</v>
      </c>
      <c r="M257" s="23">
        <f t="shared" si="21"/>
        <v>219.85884297520664</v>
      </c>
      <c r="N257" s="61">
        <f t="shared" si="22"/>
        <v>0.17135759888456745</v>
      </c>
      <c r="O257" s="61">
        <f t="shared" si="23"/>
        <v>9.2129412196374869E-2</v>
      </c>
      <c r="P257" s="67">
        <f t="shared" si="18"/>
        <v>40</v>
      </c>
    </row>
    <row r="258" spans="2:16" ht="15.75" thickBot="1" x14ac:dyDescent="0.3">
      <c r="B258" s="119"/>
      <c r="C258" s="29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68"/>
    </row>
    <row r="259" spans="2:16" x14ac:dyDescent="0.25">
      <c r="B259" s="119"/>
      <c r="C259" s="28"/>
      <c r="P259" s="67"/>
    </row>
    <row r="260" spans="2:16" x14ac:dyDescent="0.25">
      <c r="B260" s="119"/>
      <c r="C260" s="28" t="s">
        <v>103</v>
      </c>
      <c r="P260" s="67"/>
    </row>
    <row r="261" spans="2:16" x14ac:dyDescent="0.25">
      <c r="B261" s="119"/>
      <c r="C261" s="28"/>
      <c r="P261" s="67"/>
    </row>
    <row r="262" spans="2:16" x14ac:dyDescent="0.25">
      <c r="B262" s="119"/>
      <c r="C262" s="28"/>
      <c r="I262" t="s">
        <v>49</v>
      </c>
      <c r="P262" s="67"/>
    </row>
    <row r="263" spans="2:16" x14ac:dyDescent="0.25">
      <c r="B263" s="119"/>
      <c r="C263" s="28" t="s">
        <v>45</v>
      </c>
      <c r="D263" t="s">
        <v>33</v>
      </c>
      <c r="E263" t="s">
        <v>34</v>
      </c>
      <c r="F263" t="s">
        <v>35</v>
      </c>
      <c r="G263" t="s">
        <v>36</v>
      </c>
      <c r="H263" t="s">
        <v>37</v>
      </c>
      <c r="I263" t="s">
        <v>46</v>
      </c>
      <c r="J263" t="s">
        <v>39</v>
      </c>
      <c r="K263" t="s">
        <v>40</v>
      </c>
      <c r="L263" t="s">
        <v>41</v>
      </c>
      <c r="M263" t="s">
        <v>42</v>
      </c>
      <c r="N263" t="s">
        <v>43</v>
      </c>
      <c r="O263" t="s">
        <v>44</v>
      </c>
      <c r="P263" s="67"/>
    </row>
    <row r="264" spans="2:16" x14ac:dyDescent="0.25">
      <c r="B264" s="119"/>
      <c r="C264" s="28" t="s">
        <v>50</v>
      </c>
      <c r="D264">
        <v>180052</v>
      </c>
      <c r="E264" s="47">
        <v>16</v>
      </c>
      <c r="F264">
        <v>16.899999999999999</v>
      </c>
      <c r="G264">
        <v>1.32</v>
      </c>
      <c r="H264">
        <v>1.23</v>
      </c>
      <c r="I264">
        <v>0</v>
      </c>
      <c r="J264" s="23">
        <f>(E264*G264*H264)-I264</f>
        <v>25.977600000000002</v>
      </c>
      <c r="K264" s="23">
        <f>J264/1.21</f>
        <v>21.469090909090912</v>
      </c>
      <c r="L264" s="47">
        <f>L234+P234</f>
        <v>25</v>
      </c>
      <c r="M264" s="23">
        <f>K264*0.18</f>
        <v>3.8644363636363641</v>
      </c>
      <c r="N264" s="61">
        <f>((K264+L264)-M264-E264)/(K264+L264)</f>
        <v>0.5725236716487988</v>
      </c>
      <c r="O264" s="61">
        <f>((K264+L264/1.21)-M264-E264-F264)/(K264+L264)</f>
        <v>0.11547055182863949</v>
      </c>
      <c r="P264" s="67">
        <f t="shared" ref="P264:P273" si="24">L264-L234</f>
        <v>19</v>
      </c>
    </row>
    <row r="265" spans="2:16" x14ac:dyDescent="0.25">
      <c r="B265" s="119"/>
      <c r="C265" s="28" t="s">
        <v>51</v>
      </c>
      <c r="D265">
        <v>311751</v>
      </c>
      <c r="E265" s="47">
        <v>41</v>
      </c>
      <c r="F265">
        <v>24.42</v>
      </c>
      <c r="G265">
        <v>1.32</v>
      </c>
      <c r="H265">
        <v>1.23</v>
      </c>
      <c r="I265">
        <v>9</v>
      </c>
      <c r="J265" s="23">
        <f>(E265*G265*H265)-I265</f>
        <v>57.567599999999999</v>
      </c>
      <c r="K265" s="23">
        <f t="shared" ref="K265:K273" si="25">J265/1.21</f>
        <v>47.576528925619833</v>
      </c>
      <c r="L265" s="47">
        <v>42</v>
      </c>
      <c r="M265" s="23">
        <f t="shared" ref="M265:M273" si="26">K265*0.18</f>
        <v>8.5637752066115702</v>
      </c>
      <c r="N265" s="61">
        <f t="shared" ref="N265:N273" si="27">((K265+L265)-M265-E265)/(K265+L265)</f>
        <v>0.44668792371083044</v>
      </c>
      <c r="O265" s="61">
        <f t="shared" ref="O265:O273" si="28">((K265+L265/1.21)-M265-E265-F265)/(K265+L265)</f>
        <v>9.2697245810406309E-2</v>
      </c>
      <c r="P265" s="67">
        <f t="shared" si="24"/>
        <v>28</v>
      </c>
    </row>
    <row r="266" spans="2:16" x14ac:dyDescent="0.25">
      <c r="B266" s="119"/>
      <c r="C266" s="28" t="s">
        <v>52</v>
      </c>
      <c r="D266">
        <v>10104</v>
      </c>
      <c r="E266" s="47">
        <v>66</v>
      </c>
      <c r="F266">
        <v>31.93</v>
      </c>
      <c r="G266">
        <v>1.32</v>
      </c>
      <c r="H266">
        <v>1.23</v>
      </c>
      <c r="I266">
        <v>13</v>
      </c>
      <c r="J266" s="23">
        <f t="shared" ref="J266:J273" si="29">(E266*G266*H266)-I266</f>
        <v>94.157600000000002</v>
      </c>
      <c r="K266" s="23">
        <f t="shared" si="25"/>
        <v>77.816198347107445</v>
      </c>
      <c r="L266" s="47">
        <v>55</v>
      </c>
      <c r="M266" s="23">
        <f t="shared" si="26"/>
        <v>14.00691570247934</v>
      </c>
      <c r="N266" s="61">
        <f t="shared" si="27"/>
        <v>0.39761176198263176</v>
      </c>
      <c r="O266" s="61">
        <f t="shared" si="28"/>
        <v>8.5334682367231005E-2</v>
      </c>
      <c r="P266" s="67">
        <f t="shared" si="24"/>
        <v>41</v>
      </c>
    </row>
    <row r="267" spans="2:16" x14ac:dyDescent="0.25">
      <c r="B267" s="119"/>
      <c r="C267" s="28" t="s">
        <v>53</v>
      </c>
      <c r="D267">
        <v>10186</v>
      </c>
      <c r="E267" s="47">
        <v>100</v>
      </c>
      <c r="F267">
        <v>39.44</v>
      </c>
      <c r="G267">
        <v>1.32</v>
      </c>
      <c r="H267">
        <v>1.23</v>
      </c>
      <c r="I267">
        <v>19</v>
      </c>
      <c r="J267" s="23">
        <f t="shared" si="29"/>
        <v>143.35999999999999</v>
      </c>
      <c r="K267" s="23">
        <f t="shared" si="25"/>
        <v>118.4793388429752</v>
      </c>
      <c r="L267" s="47">
        <v>70</v>
      </c>
      <c r="M267" s="23">
        <f t="shared" si="26"/>
        <v>21.326280991735533</v>
      </c>
      <c r="N267" s="61">
        <f t="shared" si="27"/>
        <v>0.3562886959572043</v>
      </c>
      <c r="O267" s="61">
        <f t="shared" si="28"/>
        <v>8.2578268876611488E-2</v>
      </c>
      <c r="P267" s="67">
        <f t="shared" si="24"/>
        <v>40</v>
      </c>
    </row>
    <row r="268" spans="2:16" x14ac:dyDescent="0.25">
      <c r="B268" s="119"/>
      <c r="C268" s="28" t="s">
        <v>54</v>
      </c>
      <c r="D268">
        <v>319173</v>
      </c>
      <c r="E268" s="47">
        <v>140</v>
      </c>
      <c r="F268">
        <v>46.95</v>
      </c>
      <c r="G268">
        <v>1.32</v>
      </c>
      <c r="H268">
        <v>1.23</v>
      </c>
      <c r="I268">
        <v>25</v>
      </c>
      <c r="J268" s="23">
        <f t="shared" si="29"/>
        <v>202.304</v>
      </c>
      <c r="K268" s="23">
        <f t="shared" si="25"/>
        <v>167.19338842975208</v>
      </c>
      <c r="L268" s="47">
        <v>85</v>
      </c>
      <c r="M268" s="23">
        <f t="shared" si="26"/>
        <v>30.094809917355374</v>
      </c>
      <c r="N268" s="61">
        <f t="shared" si="27"/>
        <v>0.32553818727593281</v>
      </c>
      <c r="O268" s="61">
        <f t="shared" si="28"/>
        <v>8.0876475484509533E-2</v>
      </c>
      <c r="P268" s="67">
        <f t="shared" si="24"/>
        <v>48</v>
      </c>
    </row>
    <row r="269" spans="2:16" x14ac:dyDescent="0.25">
      <c r="B269" s="119"/>
      <c r="C269" s="28" t="s">
        <v>55</v>
      </c>
      <c r="D269">
        <v>170409</v>
      </c>
      <c r="E269" s="47">
        <v>180</v>
      </c>
      <c r="F269">
        <v>54.46</v>
      </c>
      <c r="G269">
        <v>1.32</v>
      </c>
      <c r="H269">
        <v>1.23</v>
      </c>
      <c r="I269">
        <v>30</v>
      </c>
      <c r="J269" s="23">
        <f t="shared" si="29"/>
        <v>262.24800000000005</v>
      </c>
      <c r="K269" s="23">
        <f t="shared" si="25"/>
        <v>216.73388429752072</v>
      </c>
      <c r="L269" s="47">
        <v>100</v>
      </c>
      <c r="M269" s="23">
        <f t="shared" si="26"/>
        <v>39.012099173553729</v>
      </c>
      <c r="N269" s="61">
        <f t="shared" si="27"/>
        <v>0.30852962050682592</v>
      </c>
      <c r="O269" s="61">
        <f t="shared" si="28"/>
        <v>8.1792364213251159E-2</v>
      </c>
      <c r="P269" s="67">
        <f t="shared" si="24"/>
        <v>55</v>
      </c>
    </row>
    <row r="270" spans="2:16" x14ac:dyDescent="0.25">
      <c r="B270" s="119"/>
      <c r="C270" s="28" t="s">
        <v>56</v>
      </c>
      <c r="D270">
        <v>110092</v>
      </c>
      <c r="E270" s="47">
        <v>220</v>
      </c>
      <c r="F270">
        <v>61.97</v>
      </c>
      <c r="G270">
        <v>1.32</v>
      </c>
      <c r="H270">
        <v>1.23</v>
      </c>
      <c r="I270">
        <v>35</v>
      </c>
      <c r="J270" s="23">
        <f t="shared" si="29"/>
        <v>322.19200000000006</v>
      </c>
      <c r="K270" s="23">
        <f t="shared" si="25"/>
        <v>266.2743801652893</v>
      </c>
      <c r="L270" s="47">
        <v>110</v>
      </c>
      <c r="M270" s="23">
        <f t="shared" si="26"/>
        <v>47.929388429752073</v>
      </c>
      <c r="N270" s="61">
        <f t="shared" si="27"/>
        <v>0.28794145295766244</v>
      </c>
      <c r="O270" s="61">
        <f t="shared" si="28"/>
        <v>7.2511135710708913E-2</v>
      </c>
      <c r="P270" s="67">
        <f t="shared" si="24"/>
        <v>59</v>
      </c>
    </row>
    <row r="271" spans="2:16" x14ac:dyDescent="0.25">
      <c r="B271" s="119"/>
      <c r="C271" s="28" t="s">
        <v>57</v>
      </c>
      <c r="D271">
        <v>3074542</v>
      </c>
      <c r="E271" s="47">
        <v>260</v>
      </c>
      <c r="F271">
        <v>69.489999999999995</v>
      </c>
      <c r="G271">
        <v>1.32</v>
      </c>
      <c r="H271">
        <v>1.23</v>
      </c>
      <c r="I271">
        <v>40</v>
      </c>
      <c r="J271" s="23">
        <f t="shared" si="29"/>
        <v>382.13599999999997</v>
      </c>
      <c r="K271" s="23">
        <f t="shared" si="25"/>
        <v>315.81487603305783</v>
      </c>
      <c r="L271" s="47">
        <v>125</v>
      </c>
      <c r="M271" s="23">
        <f t="shared" si="26"/>
        <v>56.846677685950404</v>
      </c>
      <c r="N271" s="61">
        <f t="shared" si="27"/>
        <v>0.28122507902344646</v>
      </c>
      <c r="O271" s="61">
        <f t="shared" si="28"/>
        <v>7.4371318332314654E-2</v>
      </c>
      <c r="P271" s="67">
        <f t="shared" si="24"/>
        <v>64</v>
      </c>
    </row>
    <row r="272" spans="2:16" x14ac:dyDescent="0.25">
      <c r="B272" s="119"/>
      <c r="C272" s="28" t="s">
        <v>58</v>
      </c>
      <c r="D272">
        <v>110154</v>
      </c>
      <c r="E272" s="47">
        <v>410</v>
      </c>
      <c r="F272">
        <v>77</v>
      </c>
      <c r="G272">
        <v>1.32</v>
      </c>
      <c r="H272">
        <v>1.23</v>
      </c>
      <c r="I272">
        <v>48</v>
      </c>
      <c r="J272" s="23">
        <f t="shared" si="29"/>
        <v>617.67600000000004</v>
      </c>
      <c r="K272" s="23">
        <f t="shared" si="25"/>
        <v>510.47603305785128</v>
      </c>
      <c r="L272" s="47">
        <v>140</v>
      </c>
      <c r="M272" s="23">
        <f t="shared" si="26"/>
        <v>91.885685950413233</v>
      </c>
      <c r="N272" s="61">
        <f t="shared" si="27"/>
        <v>0.2284332389756516</v>
      </c>
      <c r="O272" s="61">
        <f t="shared" si="28"/>
        <v>7.2704948442081793E-2</v>
      </c>
      <c r="P272" s="67">
        <f t="shared" si="24"/>
        <v>69</v>
      </c>
    </row>
    <row r="273" spans="2:18" ht="15.75" thickBot="1" x14ac:dyDescent="0.3">
      <c r="B273" s="120"/>
      <c r="C273" s="29" t="s">
        <v>59</v>
      </c>
      <c r="D273" s="30">
        <v>141739</v>
      </c>
      <c r="E273" s="63">
        <v>900</v>
      </c>
      <c r="F273" s="30">
        <v>84.51</v>
      </c>
      <c r="G273" s="30">
        <v>1.32</v>
      </c>
      <c r="H273" s="30">
        <v>1.23</v>
      </c>
      <c r="I273" s="30">
        <v>55</v>
      </c>
      <c r="J273" s="64">
        <f t="shared" si="29"/>
        <v>1406.24</v>
      </c>
      <c r="K273" s="64">
        <f t="shared" si="25"/>
        <v>1162.1818181818182</v>
      </c>
      <c r="L273" s="63">
        <v>155</v>
      </c>
      <c r="M273" s="64">
        <f t="shared" si="26"/>
        <v>209.19272727272727</v>
      </c>
      <c r="N273" s="65">
        <f t="shared" si="27"/>
        <v>0.15790461729587962</v>
      </c>
      <c r="O273" s="65">
        <f t="shared" si="28"/>
        <v>7.3321893097585064E-2</v>
      </c>
      <c r="P273" s="68">
        <f t="shared" si="24"/>
        <v>64</v>
      </c>
    </row>
    <row r="276" spans="2:18" ht="15.75" thickBot="1" x14ac:dyDescent="0.3"/>
    <row r="277" spans="2:18" ht="18.75" x14ac:dyDescent="0.3">
      <c r="C277" s="137" t="s">
        <v>108</v>
      </c>
      <c r="D277" s="106" t="s">
        <v>16</v>
      </c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9"/>
    </row>
    <row r="278" spans="2:18" x14ac:dyDescent="0.25">
      <c r="C278" s="138"/>
      <c r="D278" s="1" t="s">
        <v>1</v>
      </c>
      <c r="E278" s="32" t="s">
        <v>2</v>
      </c>
      <c r="F278" s="2" t="s">
        <v>3</v>
      </c>
      <c r="G278" s="2" t="s">
        <v>4</v>
      </c>
      <c r="H278" s="2" t="s">
        <v>5</v>
      </c>
      <c r="I278" s="2" t="s">
        <v>6</v>
      </c>
      <c r="J278" s="2" t="s">
        <v>7</v>
      </c>
      <c r="K278" s="2" t="s">
        <v>8</v>
      </c>
      <c r="L278" s="2" t="s">
        <v>9</v>
      </c>
      <c r="M278" s="2" t="s">
        <v>10</v>
      </c>
      <c r="N278" s="2" t="s">
        <v>11</v>
      </c>
      <c r="O278" s="2" t="s">
        <v>12</v>
      </c>
      <c r="P278" s="2" t="s">
        <v>13</v>
      </c>
      <c r="Q278" s="2" t="s">
        <v>14</v>
      </c>
      <c r="R278" s="3" t="s">
        <v>15</v>
      </c>
    </row>
    <row r="279" spans="2:18" ht="15.75" x14ac:dyDescent="0.25">
      <c r="C279" s="138"/>
      <c r="D279" s="34">
        <v>80</v>
      </c>
      <c r="E279" s="32">
        <v>55</v>
      </c>
      <c r="F279" s="2">
        <v>1.27</v>
      </c>
      <c r="G279" s="2">
        <v>0.22</v>
      </c>
      <c r="H279" s="2">
        <v>1.23</v>
      </c>
      <c r="I279" s="2">
        <v>30</v>
      </c>
      <c r="J279" s="2">
        <v>1</v>
      </c>
      <c r="K279" s="2">
        <v>0</v>
      </c>
      <c r="L279" s="6">
        <v>0.18</v>
      </c>
      <c r="M279" s="20">
        <v>9</v>
      </c>
      <c r="N279" s="7">
        <f>(D279+I279)*F279*G279*H279*J279+K279+M279</f>
        <v>46.802819999999997</v>
      </c>
      <c r="O279" s="8">
        <f>((N279/1.21)-M279)*0.18</f>
        <v>5.3424029752066113</v>
      </c>
      <c r="P279" s="9">
        <v>0</v>
      </c>
      <c r="Q279" s="8">
        <f>(1-P279)*D279*G279+(E279*G279)+O279</f>
        <v>35.042402975206613</v>
      </c>
      <c r="R279" s="36">
        <f>(N279/1.21-Q279)/(N279/1.21)</f>
        <v>9.4043743518018738E-2</v>
      </c>
    </row>
    <row r="280" spans="2:18" ht="15.75" x14ac:dyDescent="0.25">
      <c r="C280" s="138"/>
      <c r="D280" s="34">
        <v>200</v>
      </c>
      <c r="E280" s="32">
        <v>55</v>
      </c>
      <c r="F280" s="2">
        <v>1.27</v>
      </c>
      <c r="G280" s="2">
        <v>0.22</v>
      </c>
      <c r="H280" s="2">
        <v>1.23</v>
      </c>
      <c r="I280" s="2">
        <v>30</v>
      </c>
      <c r="J280" s="2">
        <v>1</v>
      </c>
      <c r="K280" s="2">
        <v>0</v>
      </c>
      <c r="L280" s="6">
        <v>0.18</v>
      </c>
      <c r="M280" s="20">
        <v>13</v>
      </c>
      <c r="N280" s="7">
        <f>(D280+I280)*F280*G280*H280*J280+K280+M280</f>
        <v>92.042259999999999</v>
      </c>
      <c r="O280" s="8">
        <f>((N280/1.21)-M280)*0.18</f>
        <v>11.352237024793389</v>
      </c>
      <c r="P280" s="9">
        <v>0</v>
      </c>
      <c r="Q280" s="8">
        <f>(1-P280)*D280*G280+(E280*G280)+O280</f>
        <v>67.452237024793391</v>
      </c>
      <c r="R280" s="36">
        <f>(N280/1.21-Q280)/(N280/1.21)</f>
        <v>0.11326376818648305</v>
      </c>
    </row>
    <row r="281" spans="2:18" ht="15.75" x14ac:dyDescent="0.25">
      <c r="C281" s="138"/>
      <c r="D281" s="34">
        <v>350</v>
      </c>
      <c r="E281" s="32">
        <v>55</v>
      </c>
      <c r="F281" s="2">
        <v>1.23</v>
      </c>
      <c r="G281" s="2">
        <v>0.22</v>
      </c>
      <c r="H281" s="2">
        <v>1.23</v>
      </c>
      <c r="I281" s="2">
        <v>30</v>
      </c>
      <c r="J281" s="2">
        <v>1</v>
      </c>
      <c r="K281" s="2">
        <v>0</v>
      </c>
      <c r="L281" s="6">
        <v>0.18</v>
      </c>
      <c r="M281" s="20">
        <v>20</v>
      </c>
      <c r="N281" s="7">
        <f>(D281+I281)*F281*G281*H281*J281+K281+M281</f>
        <v>146.47843999999998</v>
      </c>
      <c r="O281" s="8">
        <f>((N281/1.21)-M281)*0.18</f>
        <v>18.190181157024789</v>
      </c>
      <c r="P281" s="9">
        <v>0</v>
      </c>
      <c r="Q281" s="8">
        <f>(1-P281)*D281*G281+(E281*G281)+O281</f>
        <v>107.29018115702479</v>
      </c>
      <c r="R281" s="36">
        <f>(N281/1.21-Q281)/(N281/1.21)</f>
        <v>0.11371858411381214</v>
      </c>
    </row>
    <row r="282" spans="2:18" ht="15.75" x14ac:dyDescent="0.25">
      <c r="C282" s="138"/>
      <c r="D282" s="34">
        <v>600</v>
      </c>
      <c r="E282" s="32">
        <v>55</v>
      </c>
      <c r="F282" s="2">
        <v>1.22</v>
      </c>
      <c r="G282" s="2">
        <v>0.22</v>
      </c>
      <c r="H282" s="2">
        <v>1.23</v>
      </c>
      <c r="I282" s="2">
        <v>30</v>
      </c>
      <c r="J282" s="2">
        <v>1</v>
      </c>
      <c r="K282" s="2">
        <v>0</v>
      </c>
      <c r="L282" s="6">
        <v>0.18</v>
      </c>
      <c r="M282" s="20">
        <v>23</v>
      </c>
      <c r="N282" s="7">
        <f>(D282+I282)*F282*G282*H282*J282+K282+M282</f>
        <v>230.98316000000003</v>
      </c>
      <c r="O282" s="8">
        <f>((N282/1.21)-M282)*0.18</f>
        <v>30.221131239669429</v>
      </c>
      <c r="P282" s="9">
        <v>0</v>
      </c>
      <c r="Q282" s="8">
        <f>(1-P282)*D282*G282+(E282*G282)+O282</f>
        <v>174.32113123966943</v>
      </c>
      <c r="R282" s="36">
        <f>(N282/1.21-Q282)/(N282/1.21)</f>
        <v>8.6822741536655909E-2</v>
      </c>
    </row>
    <row r="283" spans="2:18" ht="15.75" x14ac:dyDescent="0.25">
      <c r="C283" s="138"/>
      <c r="D283" s="34">
        <v>800</v>
      </c>
      <c r="E283" s="32">
        <v>55</v>
      </c>
      <c r="F283" s="2">
        <v>1.21</v>
      </c>
      <c r="G283" s="2">
        <v>0.22</v>
      </c>
      <c r="H283" s="2">
        <v>1.23</v>
      </c>
      <c r="I283" s="2">
        <v>30</v>
      </c>
      <c r="J283" s="2">
        <v>1</v>
      </c>
      <c r="K283" s="2">
        <v>0</v>
      </c>
      <c r="L283" s="6">
        <v>0.18</v>
      </c>
      <c r="M283" s="20">
        <v>28</v>
      </c>
      <c r="N283" s="7">
        <f>(D283+I283)*F283*G283*H283*J283+K283+M283</f>
        <v>299.76357999999999</v>
      </c>
      <c r="O283" s="8">
        <f>((N283/1.21)-M283)*0.18</f>
        <v>39.552929256198347</v>
      </c>
      <c r="P283" s="9">
        <v>0</v>
      </c>
      <c r="Q283" s="8">
        <f>(1-P283)*D283*G283+(E283*G283)+O283</f>
        <v>227.65292925619835</v>
      </c>
      <c r="R283" s="36">
        <f>(N283/1.21-Q283)/(N283/1.21)</f>
        <v>8.1075678372936416E-2</v>
      </c>
    </row>
    <row r="284" spans="2:18" x14ac:dyDescent="0.25">
      <c r="C284" s="138"/>
      <c r="E284" s="33"/>
      <c r="R284" s="18"/>
    </row>
    <row r="285" spans="2:18" ht="18.75" x14ac:dyDescent="0.3">
      <c r="C285" s="138"/>
      <c r="D285" s="107" t="s">
        <v>17</v>
      </c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9"/>
    </row>
    <row r="286" spans="2:18" x14ac:dyDescent="0.25">
      <c r="C286" s="138"/>
      <c r="D286" s="1" t="s">
        <v>1</v>
      </c>
      <c r="E286" s="32" t="s">
        <v>2</v>
      </c>
      <c r="F286" s="2" t="s">
        <v>3</v>
      </c>
      <c r="G286" s="2" t="s">
        <v>4</v>
      </c>
      <c r="H286" s="2" t="s">
        <v>5</v>
      </c>
      <c r="I286" s="2" t="s">
        <v>6</v>
      </c>
      <c r="J286" s="2" t="s">
        <v>7</v>
      </c>
      <c r="K286" s="2" t="s">
        <v>8</v>
      </c>
      <c r="L286" s="2" t="s">
        <v>9</v>
      </c>
      <c r="M286" s="2" t="s">
        <v>10</v>
      </c>
      <c r="N286" s="2" t="s">
        <v>11</v>
      </c>
      <c r="O286" s="2" t="s">
        <v>12</v>
      </c>
      <c r="P286" s="2" t="s">
        <v>13</v>
      </c>
      <c r="Q286" s="2" t="s">
        <v>14</v>
      </c>
      <c r="R286" s="3" t="s">
        <v>15</v>
      </c>
    </row>
    <row r="287" spans="2:18" ht="15.75" x14ac:dyDescent="0.25">
      <c r="C287" s="138"/>
      <c r="D287" s="34">
        <v>80</v>
      </c>
      <c r="E287" s="32">
        <v>55</v>
      </c>
      <c r="F287" s="2">
        <v>1.4</v>
      </c>
      <c r="G287" s="2">
        <v>0.22</v>
      </c>
      <c r="H287" s="2">
        <v>1.23</v>
      </c>
      <c r="I287" s="2">
        <v>30</v>
      </c>
      <c r="J287" s="2">
        <v>1</v>
      </c>
      <c r="K287" s="2">
        <v>0</v>
      </c>
      <c r="L287" s="6">
        <v>0.18</v>
      </c>
      <c r="M287" s="2">
        <v>6</v>
      </c>
      <c r="N287" s="7">
        <f>(D287+I287)*F287*G287*H287*J287+K287+M287</f>
        <v>47.672400000000003</v>
      </c>
      <c r="O287" s="8">
        <f>((N287/1.21)-M287)*0.18</f>
        <v>6.0117619834710752</v>
      </c>
      <c r="P287" s="9">
        <v>0</v>
      </c>
      <c r="Q287" s="8">
        <f>(1-P287)*D287*G287+(E287*G287)+O287</f>
        <v>35.711761983471078</v>
      </c>
      <c r="R287" s="36">
        <f>(N287/1.21-Q287)/(N287/1.21)</f>
        <v>9.3579681325043435E-2</v>
      </c>
    </row>
    <row r="288" spans="2:18" ht="15.75" x14ac:dyDescent="0.25">
      <c r="C288" s="138"/>
      <c r="D288" s="34">
        <v>200</v>
      </c>
      <c r="E288" s="32">
        <v>55</v>
      </c>
      <c r="F288" s="2">
        <v>1.4</v>
      </c>
      <c r="G288" s="2">
        <v>0.22</v>
      </c>
      <c r="H288" s="2">
        <v>1.23</v>
      </c>
      <c r="I288" s="2">
        <v>20</v>
      </c>
      <c r="J288" s="2">
        <v>1</v>
      </c>
      <c r="K288" s="2">
        <v>0</v>
      </c>
      <c r="L288" s="6">
        <v>0.18</v>
      </c>
      <c r="M288" s="2">
        <v>10</v>
      </c>
      <c r="N288" s="7">
        <f>(D288+I288)*F288*G288*H288*J288+K288+M288</f>
        <v>93.344800000000006</v>
      </c>
      <c r="O288" s="8">
        <f>((N288/1.21)-M288)*0.18</f>
        <v>12.086003305785123</v>
      </c>
      <c r="P288" s="9">
        <v>0</v>
      </c>
      <c r="Q288" s="8">
        <f t="shared" ref="Q288:Q291" si="30">(1-P288)*D288*G288+(E288*G288)+O288</f>
        <v>68.186003305785121</v>
      </c>
      <c r="R288" s="36">
        <f>(N288/1.21-Q288)/(N288/1.21)</f>
        <v>0.11612576169213502</v>
      </c>
    </row>
    <row r="289" spans="3:18" ht="15.75" x14ac:dyDescent="0.25">
      <c r="C289" s="138"/>
      <c r="D289" s="34">
        <v>350</v>
      </c>
      <c r="E289" s="32">
        <v>55</v>
      </c>
      <c r="F289" s="2">
        <v>1.3</v>
      </c>
      <c r="G289" s="2">
        <v>0.22</v>
      </c>
      <c r="H289" s="2">
        <v>1.23</v>
      </c>
      <c r="I289" s="2">
        <v>20</v>
      </c>
      <c r="J289" s="2">
        <v>1</v>
      </c>
      <c r="K289" s="2">
        <v>0</v>
      </c>
      <c r="L289" s="6">
        <v>0.18</v>
      </c>
      <c r="M289" s="2">
        <v>13</v>
      </c>
      <c r="N289" s="7">
        <f>(D289+I289)*F289*G289*H289*J289+K289+M289</f>
        <v>143.15860000000001</v>
      </c>
      <c r="O289" s="8">
        <f>((N289/1.21)-M289)*0.18</f>
        <v>18.956320661157026</v>
      </c>
      <c r="P289" s="9">
        <v>0</v>
      </c>
      <c r="Q289" s="8">
        <f t="shared" si="30"/>
        <v>108.05632066115702</v>
      </c>
      <c r="R289" s="36">
        <f>(N289/1.21-Q289)/(N289/1.21)</f>
        <v>8.6690230276071534E-2</v>
      </c>
    </row>
    <row r="290" spans="3:18" ht="15.75" x14ac:dyDescent="0.25">
      <c r="C290" s="138"/>
      <c r="D290" s="34">
        <v>600</v>
      </c>
      <c r="E290" s="32">
        <v>55</v>
      </c>
      <c r="F290" s="2">
        <v>1.26</v>
      </c>
      <c r="G290" s="2">
        <v>0.22</v>
      </c>
      <c r="H290" s="2">
        <v>1.23</v>
      </c>
      <c r="I290" s="2">
        <v>20</v>
      </c>
      <c r="J290" s="2">
        <v>1</v>
      </c>
      <c r="K290" s="2">
        <v>0</v>
      </c>
      <c r="L290" s="6">
        <v>0.18</v>
      </c>
      <c r="M290" s="2">
        <v>19</v>
      </c>
      <c r="N290" s="7">
        <f>(D290+I290)*F290*G290*H290*J290+K290+M290</f>
        <v>230.39272</v>
      </c>
      <c r="O290" s="8">
        <f>((N290/1.21)-M290)*0.18</f>
        <v>30.853297190082642</v>
      </c>
      <c r="P290" s="9">
        <v>0</v>
      </c>
      <c r="Q290" s="8">
        <f t="shared" si="30"/>
        <v>174.95329719008265</v>
      </c>
      <c r="R290" s="36">
        <f>(N290/1.21-Q290)/(N290/1.21)</f>
        <v>8.1162418673645542E-2</v>
      </c>
    </row>
    <row r="291" spans="3:18" ht="16.5" thickBot="1" x14ac:dyDescent="0.3">
      <c r="C291" s="139"/>
      <c r="D291" s="34">
        <v>800</v>
      </c>
      <c r="E291" s="32">
        <v>55</v>
      </c>
      <c r="F291" s="2">
        <v>1.24</v>
      </c>
      <c r="G291" s="2">
        <v>0.22</v>
      </c>
      <c r="H291" s="2">
        <v>1.23</v>
      </c>
      <c r="I291" s="2">
        <v>18</v>
      </c>
      <c r="J291" s="2">
        <v>1</v>
      </c>
      <c r="K291" s="2">
        <v>0</v>
      </c>
      <c r="L291" s="6">
        <v>0.18</v>
      </c>
      <c r="M291" s="2">
        <v>24</v>
      </c>
      <c r="N291" s="7">
        <f>(D291+I291)*F291*G291*H291*J291+K291+M291</f>
        <v>298.47499199999999</v>
      </c>
      <c r="O291" s="8">
        <f>((N291/1.21)-M291)*0.18</f>
        <v>40.081238479338843</v>
      </c>
      <c r="P291" s="9">
        <v>0</v>
      </c>
      <c r="Q291" s="8">
        <f t="shared" si="30"/>
        <v>228.18123847933884</v>
      </c>
      <c r="R291" s="36">
        <f>(N291/1.21-Q291)/(N291/1.21)</f>
        <v>7.496672766474187E-2</v>
      </c>
    </row>
    <row r="293" spans="3:18" ht="15.75" thickBot="1" x14ac:dyDescent="0.3"/>
    <row r="294" spans="3:18" ht="18.75" x14ac:dyDescent="0.3">
      <c r="C294" s="115" t="s">
        <v>107</v>
      </c>
      <c r="D294" s="106" t="s">
        <v>16</v>
      </c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9"/>
    </row>
    <row r="295" spans="3:18" x14ac:dyDescent="0.25">
      <c r="C295" s="116"/>
      <c r="D295" s="1" t="s">
        <v>19</v>
      </c>
      <c r="E295" s="32" t="s">
        <v>2</v>
      </c>
      <c r="F295" s="2" t="s">
        <v>3</v>
      </c>
      <c r="G295" s="2" t="s">
        <v>4</v>
      </c>
      <c r="H295" s="2" t="s">
        <v>5</v>
      </c>
      <c r="I295" s="2" t="s">
        <v>6</v>
      </c>
      <c r="J295" s="2" t="s">
        <v>7</v>
      </c>
      <c r="K295" s="2" t="s">
        <v>8</v>
      </c>
      <c r="L295" s="2" t="s">
        <v>9</v>
      </c>
      <c r="M295" s="2" t="s">
        <v>10</v>
      </c>
      <c r="N295" s="2" t="s">
        <v>11</v>
      </c>
      <c r="O295" s="2" t="s">
        <v>12</v>
      </c>
      <c r="P295" s="2" t="s">
        <v>13</v>
      </c>
      <c r="Q295" s="2" t="s">
        <v>14</v>
      </c>
      <c r="R295" s="3" t="s">
        <v>15</v>
      </c>
    </row>
    <row r="296" spans="3:18" ht="15.75" x14ac:dyDescent="0.25">
      <c r="C296" s="116"/>
      <c r="D296" s="34">
        <v>300</v>
      </c>
      <c r="E296" s="32">
        <v>50</v>
      </c>
      <c r="F296" s="2">
        <v>1.47</v>
      </c>
      <c r="G296" s="2">
        <v>0.22</v>
      </c>
      <c r="H296" s="2">
        <v>1</v>
      </c>
      <c r="I296" s="2">
        <v>-10</v>
      </c>
      <c r="J296" s="2">
        <v>1</v>
      </c>
      <c r="K296" s="2">
        <v>0</v>
      </c>
      <c r="L296" s="6">
        <v>0.18</v>
      </c>
      <c r="M296" s="2">
        <v>13</v>
      </c>
      <c r="N296" s="7">
        <f>(D296+I296)*F296*G296*H296*J296+K296+M296</f>
        <v>106.786</v>
      </c>
      <c r="O296" s="8">
        <f>((N296-M296)/1.21)*0.18</f>
        <v>13.951636363636364</v>
      </c>
      <c r="P296" s="9">
        <v>0</v>
      </c>
      <c r="Q296" s="8">
        <f>(((1-P296)*D296)/1.23)*G296+(E296*G296)+O296</f>
        <v>78.610172949002219</v>
      </c>
      <c r="R296" s="36">
        <f>(N296/1.21-Q296)/(N296/1.21)</f>
        <v>0.1092623633407686</v>
      </c>
    </row>
    <row r="297" spans="3:18" ht="15.75" x14ac:dyDescent="0.25">
      <c r="C297" s="116"/>
      <c r="D297" s="34">
        <v>400</v>
      </c>
      <c r="E297" s="32">
        <v>50</v>
      </c>
      <c r="F297" s="2">
        <v>1.35</v>
      </c>
      <c r="G297" s="2">
        <v>0.22</v>
      </c>
      <c r="H297" s="2">
        <v>1</v>
      </c>
      <c r="I297" s="2">
        <v>-40</v>
      </c>
      <c r="J297" s="2">
        <v>1</v>
      </c>
      <c r="K297" s="2">
        <v>0</v>
      </c>
      <c r="L297" s="6">
        <v>0.18</v>
      </c>
      <c r="M297" s="2">
        <v>20</v>
      </c>
      <c r="N297" s="7">
        <f t="shared" ref="N297:N300" si="31">(D297+I297)*F297*G297*H297*J297+K297+M297</f>
        <v>126.92000000000002</v>
      </c>
      <c r="O297" s="8">
        <f t="shared" ref="O297:O300" si="32">((N297-M297)/1.21)*0.18</f>
        <v>15.905454545454546</v>
      </c>
      <c r="P297" s="9">
        <v>0</v>
      </c>
      <c r="Q297" s="8">
        <f>(((1-P297)*D297)/1.23)*G297+(E297*G297)+O297</f>
        <v>98.45016999260902</v>
      </c>
      <c r="R297" s="36">
        <f>(N297/1.21-Q297)/(N297/1.21)</f>
        <v>6.1418959257351968E-2</v>
      </c>
    </row>
    <row r="298" spans="3:18" ht="15.75" x14ac:dyDescent="0.25">
      <c r="C298" s="116"/>
      <c r="D298" s="34">
        <v>600</v>
      </c>
      <c r="E298" s="32">
        <v>50</v>
      </c>
      <c r="F298" s="2">
        <v>1.31</v>
      </c>
      <c r="G298" s="2">
        <v>0.22</v>
      </c>
      <c r="H298" s="2">
        <v>1</v>
      </c>
      <c r="I298" s="2">
        <v>-40</v>
      </c>
      <c r="J298" s="2">
        <v>1</v>
      </c>
      <c r="K298" s="2">
        <v>0</v>
      </c>
      <c r="L298" s="6">
        <v>0.18</v>
      </c>
      <c r="M298" s="2">
        <v>23</v>
      </c>
      <c r="N298" s="7">
        <f t="shared" si="31"/>
        <v>184.392</v>
      </c>
      <c r="O298" s="8">
        <f t="shared" si="32"/>
        <v>24.00872727272727</v>
      </c>
      <c r="P298" s="9">
        <v>0</v>
      </c>
      <c r="Q298" s="8">
        <f t="shared" ref="Q298:Q300" si="33">(((1-P298)*D298)/1.23)*G298+(E298*G298)+O298</f>
        <v>142.32580044345897</v>
      </c>
      <c r="R298" s="36">
        <f>(N298/1.21-Q298)/(N298/1.21)</f>
        <v>6.6042894829573151E-2</v>
      </c>
    </row>
    <row r="299" spans="3:18" ht="15.75" x14ac:dyDescent="0.25">
      <c r="C299" s="116"/>
      <c r="D299" s="34">
        <v>900</v>
      </c>
      <c r="E299" s="32">
        <v>50</v>
      </c>
      <c r="F299" s="2">
        <v>1.29</v>
      </c>
      <c r="G299" s="2">
        <v>0.22</v>
      </c>
      <c r="H299" s="2">
        <v>1</v>
      </c>
      <c r="I299" s="2">
        <v>-40</v>
      </c>
      <c r="J299" s="2">
        <v>1</v>
      </c>
      <c r="K299" s="2">
        <v>0</v>
      </c>
      <c r="L299" s="6">
        <v>0.18</v>
      </c>
      <c r="M299" s="2">
        <v>27</v>
      </c>
      <c r="N299" s="7">
        <f t="shared" si="31"/>
        <v>271.06799999999998</v>
      </c>
      <c r="O299" s="8">
        <f t="shared" si="32"/>
        <v>36.307636363636355</v>
      </c>
      <c r="P299" s="9">
        <v>0</v>
      </c>
      <c r="Q299" s="8">
        <f t="shared" si="33"/>
        <v>208.28324611973395</v>
      </c>
      <c r="R299" s="36">
        <f>(N299/1.21-Q299)/(N299/1.21)</f>
        <v>7.0260127330123462E-2</v>
      </c>
    </row>
    <row r="300" spans="3:18" ht="15.75" x14ac:dyDescent="0.25">
      <c r="C300" s="116"/>
      <c r="D300" s="34">
        <v>1500</v>
      </c>
      <c r="E300" s="32">
        <v>50</v>
      </c>
      <c r="F300" s="2">
        <v>1.27</v>
      </c>
      <c r="G300" s="2">
        <v>0.22</v>
      </c>
      <c r="H300" s="2">
        <v>1</v>
      </c>
      <c r="I300" s="2">
        <v>-50</v>
      </c>
      <c r="J300" s="2">
        <v>1</v>
      </c>
      <c r="K300" s="2">
        <v>0</v>
      </c>
      <c r="L300" s="6">
        <v>0.18</v>
      </c>
      <c r="M300" s="2">
        <v>30</v>
      </c>
      <c r="N300" s="7">
        <f t="shared" si="31"/>
        <v>435.13</v>
      </c>
      <c r="O300" s="8">
        <f t="shared" si="32"/>
        <v>60.267272727272726</v>
      </c>
      <c r="P300" s="9">
        <v>0</v>
      </c>
      <c r="Q300" s="8">
        <f t="shared" si="33"/>
        <v>339.559955654102</v>
      </c>
      <c r="R300" s="36">
        <f>(N300/1.21-Q300)/(N300/1.21)</f>
        <v>5.5759091900205948E-2</v>
      </c>
    </row>
    <row r="301" spans="3:18" x14ac:dyDescent="0.25">
      <c r="C301" s="116"/>
      <c r="E301" s="33"/>
      <c r="R301" s="18"/>
    </row>
    <row r="302" spans="3:18" ht="18.75" x14ac:dyDescent="0.3">
      <c r="C302" s="116"/>
      <c r="D302" s="107" t="s">
        <v>17</v>
      </c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9"/>
    </row>
    <row r="303" spans="3:18" x14ac:dyDescent="0.25">
      <c r="C303" s="116"/>
      <c r="D303" s="1" t="s">
        <v>19</v>
      </c>
      <c r="E303" s="32" t="s">
        <v>2</v>
      </c>
      <c r="F303" s="2" t="s">
        <v>3</v>
      </c>
      <c r="G303" s="2" t="s">
        <v>4</v>
      </c>
      <c r="H303" s="2" t="s">
        <v>5</v>
      </c>
      <c r="I303" s="2" t="s">
        <v>6</v>
      </c>
      <c r="J303" s="2" t="s">
        <v>7</v>
      </c>
      <c r="K303" s="2" t="s">
        <v>8</v>
      </c>
      <c r="L303" s="2" t="s">
        <v>9</v>
      </c>
      <c r="M303" s="2" t="s">
        <v>10</v>
      </c>
      <c r="N303" s="2" t="s">
        <v>11</v>
      </c>
      <c r="O303" s="2" t="s">
        <v>12</v>
      </c>
      <c r="P303" s="2" t="s">
        <v>13</v>
      </c>
      <c r="Q303" s="2" t="s">
        <v>14</v>
      </c>
      <c r="R303" s="3" t="s">
        <v>15</v>
      </c>
    </row>
    <row r="304" spans="3:18" ht="15.75" x14ac:dyDescent="0.25">
      <c r="C304" s="116"/>
      <c r="D304" s="34">
        <v>300</v>
      </c>
      <c r="E304" s="32">
        <v>50</v>
      </c>
      <c r="F304" s="2">
        <v>1.25</v>
      </c>
      <c r="G304" s="2">
        <v>0.22</v>
      </c>
      <c r="H304" s="2">
        <v>1</v>
      </c>
      <c r="I304" s="2">
        <v>0</v>
      </c>
      <c r="J304" s="2">
        <v>1</v>
      </c>
      <c r="K304" s="2">
        <v>0</v>
      </c>
      <c r="L304" s="6">
        <v>0.18</v>
      </c>
      <c r="M304" s="2">
        <v>10</v>
      </c>
      <c r="N304" s="7">
        <f>(D304+I304)*F304*G304*H304*J304+K304+M304</f>
        <v>92.5</v>
      </c>
      <c r="O304" s="8">
        <f>((N304-M304)/1.21)*0.18</f>
        <v>12.272727272727273</v>
      </c>
      <c r="P304" s="9">
        <v>0</v>
      </c>
      <c r="Q304" s="8">
        <f>(((1-P304)*D304)/1.23)*G304+(E304*G304)+O304</f>
        <v>76.931263858093132</v>
      </c>
      <c r="R304" s="36">
        <f>(N304/1.21-Q304)/(N304/1.21)</f>
        <v>-6.3441001977588458E-3</v>
      </c>
    </row>
    <row r="305" spans="3:18" ht="15.75" x14ac:dyDescent="0.25">
      <c r="C305" s="116"/>
      <c r="D305" s="34">
        <v>400</v>
      </c>
      <c r="E305" s="32">
        <v>50</v>
      </c>
      <c r="F305" s="2">
        <v>1.35</v>
      </c>
      <c r="G305" s="2">
        <v>0.22</v>
      </c>
      <c r="H305" s="2">
        <v>1</v>
      </c>
      <c r="I305" s="2">
        <v>-40</v>
      </c>
      <c r="J305" s="2">
        <v>1</v>
      </c>
      <c r="K305" s="2">
        <v>0</v>
      </c>
      <c r="L305" s="6">
        <v>0.18</v>
      </c>
      <c r="M305" s="2">
        <v>16</v>
      </c>
      <c r="N305" s="7">
        <f t="shared" ref="N305:N308" si="34">(D305+I305)*F305*G305*H305*J305+K305+M305</f>
        <v>122.92000000000002</v>
      </c>
      <c r="O305" s="8">
        <f t="shared" ref="O305:O308" si="35">(N305/1.21)*0.18</f>
        <v>18.285619834710747</v>
      </c>
      <c r="P305" s="9">
        <v>0</v>
      </c>
      <c r="Q305" s="8">
        <f t="shared" ref="Q305:Q308" si="36">(((1-P305)*D305)/1.23)*G305+(E305*G305)+O305</f>
        <v>100.83033528186522</v>
      </c>
      <c r="R305" s="36">
        <f>(N305/1.21-Q305)/(N305/1.21)</f>
        <v>7.4462602419713229E-3</v>
      </c>
    </row>
    <row r="306" spans="3:18" ht="15.75" x14ac:dyDescent="0.25">
      <c r="C306" s="116"/>
      <c r="D306" s="34">
        <v>600</v>
      </c>
      <c r="E306" s="32">
        <v>50</v>
      </c>
      <c r="F306" s="2">
        <v>1.39</v>
      </c>
      <c r="G306" s="2">
        <v>0.22</v>
      </c>
      <c r="H306" s="2">
        <v>1</v>
      </c>
      <c r="I306" s="2">
        <v>-70</v>
      </c>
      <c r="J306" s="2">
        <v>1</v>
      </c>
      <c r="K306" s="2">
        <v>0</v>
      </c>
      <c r="L306" s="6">
        <v>0.18</v>
      </c>
      <c r="M306" s="2">
        <v>19</v>
      </c>
      <c r="N306" s="7">
        <f t="shared" si="34"/>
        <v>181.07399999999998</v>
      </c>
      <c r="O306" s="8">
        <f t="shared" si="35"/>
        <v>26.93662809917355</v>
      </c>
      <c r="P306" s="9">
        <v>0</v>
      </c>
      <c r="Q306" s="8">
        <f t="shared" si="36"/>
        <v>145.25370126990526</v>
      </c>
      <c r="R306" s="36">
        <f>(N306/1.21-Q306)/(N306/1.21)</f>
        <v>2.9363804098957468E-2</v>
      </c>
    </row>
    <row r="307" spans="3:18" ht="15.75" x14ac:dyDescent="0.25">
      <c r="C307" s="116"/>
      <c r="D307" s="34">
        <v>900</v>
      </c>
      <c r="E307" s="32">
        <v>50</v>
      </c>
      <c r="F307" s="2">
        <v>1.36</v>
      </c>
      <c r="G307" s="2">
        <v>0.22</v>
      </c>
      <c r="H307" s="2">
        <v>1</v>
      </c>
      <c r="I307" s="2">
        <v>-100</v>
      </c>
      <c r="J307" s="2">
        <v>1</v>
      </c>
      <c r="K307" s="2">
        <v>0</v>
      </c>
      <c r="L307" s="6">
        <v>0.18</v>
      </c>
      <c r="M307" s="2">
        <v>24</v>
      </c>
      <c r="N307" s="7">
        <f t="shared" si="34"/>
        <v>263.36</v>
      </c>
      <c r="O307" s="8">
        <f t="shared" si="35"/>
        <v>39.177520661157025</v>
      </c>
      <c r="P307" s="9">
        <v>0</v>
      </c>
      <c r="Q307" s="8">
        <f t="shared" si="36"/>
        <v>211.1531304172546</v>
      </c>
      <c r="R307" s="36">
        <f>(N307/1.21-Q307)/(N307/1.21)</f>
        <v>2.9862971579290541E-2</v>
      </c>
    </row>
    <row r="308" spans="3:18" ht="16.5" thickBot="1" x14ac:dyDescent="0.3">
      <c r="C308" s="117"/>
      <c r="D308" s="34">
        <v>1500</v>
      </c>
      <c r="E308" s="32">
        <v>50</v>
      </c>
      <c r="F308" s="2">
        <v>1.37</v>
      </c>
      <c r="G308" s="2">
        <v>0.22</v>
      </c>
      <c r="H308" s="2">
        <v>1</v>
      </c>
      <c r="I308" s="2">
        <v>-160</v>
      </c>
      <c r="J308" s="2">
        <v>1</v>
      </c>
      <c r="K308" s="2">
        <v>0</v>
      </c>
      <c r="L308" s="6">
        <v>0.18</v>
      </c>
      <c r="M308" s="2">
        <v>30</v>
      </c>
      <c r="N308" s="7">
        <f t="shared" si="34"/>
        <v>433.87600000000003</v>
      </c>
      <c r="O308" s="8">
        <f t="shared" si="35"/>
        <v>64.54353719008266</v>
      </c>
      <c r="P308" s="9">
        <v>0</v>
      </c>
      <c r="Q308" s="8">
        <f t="shared" si="36"/>
        <v>343.83622011691193</v>
      </c>
      <c r="R308" s="36">
        <f>(N308/1.21-Q308)/(N308/1.21)</f>
        <v>4.1104310122100862E-2</v>
      </c>
    </row>
  </sheetData>
  <mergeCells count="44">
    <mergeCell ref="C277:C291"/>
    <mergeCell ref="D277:R277"/>
    <mergeCell ref="D285:R285"/>
    <mergeCell ref="C294:C308"/>
    <mergeCell ref="D294:R294"/>
    <mergeCell ref="D302:R302"/>
    <mergeCell ref="B215:B243"/>
    <mergeCell ref="B245:B273"/>
    <mergeCell ref="B197:B212"/>
    <mergeCell ref="C197:Q197"/>
    <mergeCell ref="C206:Q206"/>
    <mergeCell ref="B38:B53"/>
    <mergeCell ref="C38:Q38"/>
    <mergeCell ref="C47:Q47"/>
    <mergeCell ref="B56:B71"/>
    <mergeCell ref="C56:Q56"/>
    <mergeCell ref="C65:Q65"/>
    <mergeCell ref="B74:B89"/>
    <mergeCell ref="C74:Q74"/>
    <mergeCell ref="C83:Q83"/>
    <mergeCell ref="B92:B107"/>
    <mergeCell ref="C92:Q92"/>
    <mergeCell ref="C101:Q101"/>
    <mergeCell ref="B2:B17"/>
    <mergeCell ref="C2:Q2"/>
    <mergeCell ref="C11:Q11"/>
    <mergeCell ref="B20:B35"/>
    <mergeCell ref="C20:Q20"/>
    <mergeCell ref="C29:Q29"/>
    <mergeCell ref="B146:B161"/>
    <mergeCell ref="C146:Q146"/>
    <mergeCell ref="C155:Q155"/>
    <mergeCell ref="B110:B125"/>
    <mergeCell ref="C110:Q110"/>
    <mergeCell ref="C119:Q119"/>
    <mergeCell ref="B128:B143"/>
    <mergeCell ref="C128:Q128"/>
    <mergeCell ref="C137:Q137"/>
    <mergeCell ref="B164:B178"/>
    <mergeCell ref="C164:Q164"/>
    <mergeCell ref="C172:Q172"/>
    <mergeCell ref="B180:B194"/>
    <mergeCell ref="C180:Q180"/>
    <mergeCell ref="C188:Q1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7310-E9F5-4840-967C-C659981C94C2}">
  <dimension ref="A1:P15"/>
  <sheetViews>
    <sheetView workbookViewId="0">
      <selection activeCell="M4" sqref="M4"/>
    </sheetView>
  </sheetViews>
  <sheetFormatPr defaultRowHeight="15" x14ac:dyDescent="0.25"/>
  <cols>
    <col min="2" max="3" width="7" bestFit="1" customWidth="1"/>
    <col min="4" max="5" width="12.140625" customWidth="1"/>
    <col min="6" max="6" width="21.42578125" bestFit="1" customWidth="1"/>
    <col min="7" max="7" width="13.7109375" bestFit="1" customWidth="1"/>
    <col min="8" max="8" width="8.5703125" bestFit="1" customWidth="1"/>
    <col min="9" max="9" width="5" bestFit="1" customWidth="1"/>
    <col min="10" max="10" width="13.7109375" bestFit="1" customWidth="1"/>
    <col min="11" max="11" width="28.7109375" bestFit="1" customWidth="1"/>
    <col min="12" max="12" width="14.5703125" bestFit="1" customWidth="1"/>
    <col min="13" max="13" width="8.5703125" bestFit="1" customWidth="1"/>
    <col min="14" max="14" width="7.140625" bestFit="1" customWidth="1"/>
    <col min="15" max="15" width="9.85546875" bestFit="1" customWidth="1"/>
    <col min="16" max="16" width="11.28515625" bestFit="1" customWidth="1"/>
  </cols>
  <sheetData>
    <row r="1" spans="1:16" x14ac:dyDescent="0.25">
      <c r="A1" s="118" t="s">
        <v>104</v>
      </c>
      <c r="B1" s="125" t="s">
        <v>102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  <c r="O1" s="81" t="s">
        <v>123</v>
      </c>
      <c r="P1" s="82"/>
    </row>
    <row r="2" spans="1:16" ht="15.75" thickBot="1" x14ac:dyDescent="0.3">
      <c r="A2" s="119"/>
      <c r="B2" s="128" t="s">
        <v>111</v>
      </c>
      <c r="C2" s="129"/>
      <c r="D2" s="129" t="s">
        <v>112</v>
      </c>
      <c r="E2" s="129"/>
      <c r="N2" s="18"/>
      <c r="O2" s="83">
        <v>1.27</v>
      </c>
      <c r="P2" s="84"/>
    </row>
    <row r="3" spans="1:16" x14ac:dyDescent="0.25">
      <c r="A3" s="119"/>
      <c r="B3" s="28" t="s">
        <v>113</v>
      </c>
      <c r="C3" t="s">
        <v>114</v>
      </c>
      <c r="D3" t="s">
        <v>113</v>
      </c>
      <c r="E3" t="s">
        <v>114</v>
      </c>
      <c r="F3" t="s">
        <v>1</v>
      </c>
      <c r="G3" t="s">
        <v>115</v>
      </c>
      <c r="H3" t="s">
        <v>116</v>
      </c>
      <c r="I3" t="s">
        <v>117</v>
      </c>
      <c r="J3" t="s">
        <v>118</v>
      </c>
      <c r="K3" t="s">
        <v>11</v>
      </c>
      <c r="L3" t="s">
        <v>10</v>
      </c>
      <c r="M3" t="s">
        <v>9</v>
      </c>
      <c r="N3" s="18" t="s">
        <v>15</v>
      </c>
      <c r="O3" t="s">
        <v>119</v>
      </c>
      <c r="P3" t="s">
        <v>120</v>
      </c>
    </row>
    <row r="4" spans="1:16" x14ac:dyDescent="0.25">
      <c r="A4" s="119"/>
      <c r="B4" s="28">
        <v>0</v>
      </c>
      <c r="C4">
        <v>8390</v>
      </c>
      <c r="D4">
        <v>0</v>
      </c>
      <c r="E4">
        <f>ROUND(C4/(H4*I4),2)</f>
        <v>4930.07</v>
      </c>
      <c r="F4" s="47">
        <f>ROUND(AVERAGE(D4:E4),2)</f>
        <v>2465.04</v>
      </c>
      <c r="G4" s="47">
        <v>0</v>
      </c>
      <c r="H4">
        <v>1.34</v>
      </c>
      <c r="I4">
        <v>1.27</v>
      </c>
      <c r="J4" s="96">
        <v>1.0129999999999999</v>
      </c>
      <c r="K4" s="47">
        <f>(F4*H4*I4)*J4+L4</f>
        <v>5249.5401379359992</v>
      </c>
      <c r="L4" s="23">
        <v>1000</v>
      </c>
      <c r="M4" s="85">
        <f>(K4-L4)/$O$2*0.18</f>
        <v>602.29702742399979</v>
      </c>
      <c r="N4" s="62">
        <f>(K4/$O$2-M4-F4)/(K4/$O$2)</f>
        <v>0.25793156686671037</v>
      </c>
      <c r="O4" s="85">
        <v>0</v>
      </c>
      <c r="P4" s="85">
        <f>E4*H4*I4+J4</f>
        <v>8391.006126000002</v>
      </c>
    </row>
    <row r="5" spans="1:16" x14ac:dyDescent="0.25">
      <c r="A5" s="119"/>
      <c r="B5" s="28">
        <f>C4</f>
        <v>8390</v>
      </c>
      <c r="C5">
        <v>12500</v>
      </c>
      <c r="D5">
        <f>E4</f>
        <v>4930.07</v>
      </c>
      <c r="E5">
        <f t="shared" ref="E5:E9" si="0">ROUND(C5/(H5*I5),2)</f>
        <v>7345.16</v>
      </c>
      <c r="F5" s="47">
        <f t="shared" ref="F5:F9" si="1">ROUND(AVERAGE(D5:E5),2)</f>
        <v>6137.62</v>
      </c>
      <c r="G5" s="47">
        <v>0</v>
      </c>
      <c r="H5">
        <v>1.34</v>
      </c>
      <c r="I5">
        <v>1.27</v>
      </c>
      <c r="J5" s="85">
        <v>-1250</v>
      </c>
      <c r="K5" s="47">
        <f t="shared" ref="K5:K9" si="2">(F5*H5*I5)+J5+L5</f>
        <v>10575.001715999999</v>
      </c>
      <c r="L5" s="23">
        <v>1380</v>
      </c>
      <c r="M5" s="85">
        <f t="shared" ref="M5:M10" si="3">(K5-L5)/$O$2*0.18</f>
        <v>1303.2285896692911</v>
      </c>
      <c r="N5" s="62">
        <f t="shared" ref="N5:N10" si="4">(K5/$O$2-M5-F5)/(K5/$O$2)</f>
        <v>0.10639468790039849</v>
      </c>
      <c r="O5" s="85">
        <f>D5*H5*I5+J5</f>
        <v>7139.9931260000012</v>
      </c>
      <c r="P5" s="85">
        <f>E5*H5*I5+J5</f>
        <v>11249.993288</v>
      </c>
    </row>
    <row r="6" spans="1:16" x14ac:dyDescent="0.25">
      <c r="A6" s="119"/>
      <c r="B6" s="28">
        <f t="shared" ref="B6:B10" si="5">C5</f>
        <v>12500</v>
      </c>
      <c r="C6">
        <v>30670</v>
      </c>
      <c r="D6">
        <f t="shared" ref="D6:D10" si="6">E5</f>
        <v>7345.16</v>
      </c>
      <c r="E6">
        <f t="shared" si="0"/>
        <v>18022.09</v>
      </c>
      <c r="F6" s="47">
        <f t="shared" si="1"/>
        <v>12683.63</v>
      </c>
      <c r="G6" s="47">
        <v>0</v>
      </c>
      <c r="H6">
        <v>1.34</v>
      </c>
      <c r="I6">
        <v>1.27</v>
      </c>
      <c r="J6" s="85">
        <v>-3100</v>
      </c>
      <c r="K6" s="47">
        <f t="shared" si="2"/>
        <v>21895.001534000003</v>
      </c>
      <c r="L6" s="23">
        <v>3410</v>
      </c>
      <c r="M6" s="85">
        <f t="shared" si="3"/>
        <v>2619.921477259843</v>
      </c>
      <c r="N6" s="62">
        <f t="shared" si="4"/>
        <v>0.11233117084101332</v>
      </c>
      <c r="O6" s="85">
        <f t="shared" ref="O6:O10" si="7">D6*H6*I6+J6</f>
        <v>9399.9932879999997</v>
      </c>
      <c r="P6" s="85">
        <f t="shared" ref="P6:P9" si="8">E6*H6*I6+J6</f>
        <v>27569.992762000002</v>
      </c>
    </row>
    <row r="7" spans="1:16" x14ac:dyDescent="0.25">
      <c r="A7" s="119"/>
      <c r="B7" s="28">
        <f t="shared" si="5"/>
        <v>30670</v>
      </c>
      <c r="C7">
        <v>50370</v>
      </c>
      <c r="D7">
        <f t="shared" si="6"/>
        <v>18022.09</v>
      </c>
      <c r="E7">
        <f t="shared" si="0"/>
        <v>29598.07</v>
      </c>
      <c r="F7" s="47">
        <f t="shared" si="1"/>
        <v>23810.080000000002</v>
      </c>
      <c r="G7" s="47">
        <v>0</v>
      </c>
      <c r="H7">
        <v>1.34</v>
      </c>
      <c r="I7">
        <v>1.27</v>
      </c>
      <c r="J7" s="85">
        <v>-5100</v>
      </c>
      <c r="K7" s="47">
        <f t="shared" si="2"/>
        <v>41029.994144000004</v>
      </c>
      <c r="L7" s="23">
        <v>5610</v>
      </c>
      <c r="M7" s="85">
        <f t="shared" si="3"/>
        <v>5020.1566503307095</v>
      </c>
      <c r="N7" s="62">
        <f t="shared" si="4"/>
        <v>0.10761867483048893</v>
      </c>
      <c r="O7" s="85">
        <f t="shared" si="7"/>
        <v>25569.992762000002</v>
      </c>
      <c r="P7" s="85">
        <f t="shared" si="8"/>
        <v>45269.995526000006</v>
      </c>
    </row>
    <row r="8" spans="1:16" x14ac:dyDescent="0.25">
      <c r="A8" s="119"/>
      <c r="B8" s="28">
        <f t="shared" si="5"/>
        <v>50370</v>
      </c>
      <c r="C8">
        <v>75145</v>
      </c>
      <c r="D8">
        <f t="shared" si="6"/>
        <v>29598.07</v>
      </c>
      <c r="E8">
        <f t="shared" si="0"/>
        <v>44156.19</v>
      </c>
      <c r="F8" s="47">
        <f t="shared" si="1"/>
        <v>36877.129999999997</v>
      </c>
      <c r="G8" s="47">
        <v>0</v>
      </c>
      <c r="H8">
        <v>1.34</v>
      </c>
      <c r="I8">
        <v>1.27</v>
      </c>
      <c r="J8" s="85">
        <v>-7520</v>
      </c>
      <c r="K8" s="47">
        <f t="shared" si="2"/>
        <v>63507.499834000002</v>
      </c>
      <c r="L8" s="23">
        <v>8270</v>
      </c>
      <c r="M8" s="85">
        <f t="shared" si="3"/>
        <v>7828.9369843464565</v>
      </c>
      <c r="N8" s="62">
        <f t="shared" si="4"/>
        <v>0.10598425038733041</v>
      </c>
      <c r="O8" s="85">
        <f t="shared" si="7"/>
        <v>42849.995526000006</v>
      </c>
      <c r="P8" s="85">
        <f t="shared" si="8"/>
        <v>67625.004142000005</v>
      </c>
    </row>
    <row r="9" spans="1:16" x14ac:dyDescent="0.25">
      <c r="A9" s="119"/>
      <c r="B9" s="28">
        <f t="shared" si="5"/>
        <v>75145</v>
      </c>
      <c r="C9">
        <v>110199</v>
      </c>
      <c r="D9">
        <f t="shared" si="6"/>
        <v>44156.19</v>
      </c>
      <c r="E9">
        <f t="shared" si="0"/>
        <v>64754.38</v>
      </c>
      <c r="F9" s="47">
        <f t="shared" si="1"/>
        <v>54455.29</v>
      </c>
      <c r="G9" s="47">
        <v>0</v>
      </c>
      <c r="H9">
        <v>1.34</v>
      </c>
      <c r="I9">
        <v>1.27</v>
      </c>
      <c r="J9" s="85">
        <v>-11200</v>
      </c>
      <c r="K9" s="47">
        <f t="shared" si="2"/>
        <v>93792.012522000005</v>
      </c>
      <c r="L9" s="23">
        <v>12320</v>
      </c>
      <c r="M9" s="85">
        <f t="shared" si="3"/>
        <v>11547.21437319685</v>
      </c>
      <c r="N9" s="62">
        <f t="shared" si="4"/>
        <v>0.10628657707607773</v>
      </c>
      <c r="O9" s="85">
        <f t="shared" si="7"/>
        <v>63945.004142000005</v>
      </c>
      <c r="P9" s="85">
        <f t="shared" si="8"/>
        <v>98999.003884000005</v>
      </c>
    </row>
    <row r="10" spans="1:16" x14ac:dyDescent="0.25">
      <c r="A10" s="119"/>
      <c r="B10" s="28">
        <f t="shared" si="5"/>
        <v>110199</v>
      </c>
      <c r="D10">
        <f t="shared" si="6"/>
        <v>64754.38</v>
      </c>
      <c r="F10" s="47">
        <v>90000</v>
      </c>
      <c r="G10" s="47">
        <v>0</v>
      </c>
      <c r="H10">
        <v>1.34</v>
      </c>
      <c r="I10">
        <v>1.27</v>
      </c>
      <c r="J10" s="85">
        <v>-17824</v>
      </c>
      <c r="K10" s="47">
        <f>(F10*H10*I10)+J10+L10</f>
        <v>154943</v>
      </c>
      <c r="L10" s="23">
        <v>19605</v>
      </c>
      <c r="M10" s="85">
        <f t="shared" si="3"/>
        <v>19181.763779527559</v>
      </c>
      <c r="N10" s="62">
        <f t="shared" si="4"/>
        <v>0.1050848376499746</v>
      </c>
      <c r="O10" s="85">
        <f t="shared" si="7"/>
        <v>92375.003884000005</v>
      </c>
      <c r="P10" s="85"/>
    </row>
    <row r="11" spans="1:16" x14ac:dyDescent="0.25">
      <c r="A11" s="119"/>
      <c r="B11" s="28"/>
      <c r="N11" s="18"/>
      <c r="O11" s="85"/>
      <c r="P11" s="47"/>
    </row>
    <row r="12" spans="1:16" x14ac:dyDescent="0.25">
      <c r="A12" s="119"/>
      <c r="B12" s="128" t="s">
        <v>103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/>
      <c r="O12" s="85"/>
      <c r="P12" s="47"/>
    </row>
    <row r="13" spans="1:16" x14ac:dyDescent="0.25">
      <c r="A13" s="119"/>
      <c r="B13" s="128" t="s">
        <v>111</v>
      </c>
      <c r="C13" s="129"/>
      <c r="D13" s="129" t="s">
        <v>112</v>
      </c>
      <c r="E13" s="129"/>
      <c r="N13" s="18"/>
      <c r="O13" s="85"/>
      <c r="P13" s="47"/>
    </row>
    <row r="14" spans="1:16" x14ac:dyDescent="0.25">
      <c r="A14" s="119"/>
      <c r="B14" s="28" t="s">
        <v>113</v>
      </c>
      <c r="C14" t="s">
        <v>114</v>
      </c>
      <c r="D14" t="s">
        <v>113</v>
      </c>
      <c r="E14" t="s">
        <v>114</v>
      </c>
      <c r="F14" t="s">
        <v>1</v>
      </c>
      <c r="G14" t="s">
        <v>115</v>
      </c>
      <c r="H14" t="s">
        <v>116</v>
      </c>
      <c r="I14" t="s">
        <v>117</v>
      </c>
      <c r="J14" t="s">
        <v>118</v>
      </c>
      <c r="K14" t="s">
        <v>11</v>
      </c>
      <c r="L14" t="s">
        <v>10</v>
      </c>
      <c r="M14" t="s">
        <v>9</v>
      </c>
      <c r="N14" s="18" t="s">
        <v>15</v>
      </c>
      <c r="O14" s="85"/>
      <c r="P14" s="47"/>
    </row>
    <row r="15" spans="1:16" ht="15.75" thickBot="1" x14ac:dyDescent="0.3">
      <c r="A15" s="120"/>
      <c r="B15" s="29">
        <v>1100</v>
      </c>
      <c r="C15" s="30"/>
      <c r="D15" s="30"/>
      <c r="E15" s="30"/>
      <c r="F15" s="63">
        <v>24000</v>
      </c>
      <c r="G15" s="63">
        <v>0</v>
      </c>
      <c r="H15" s="30">
        <v>1.36</v>
      </c>
      <c r="I15" s="30">
        <v>1.27</v>
      </c>
      <c r="J15" s="86">
        <v>0</v>
      </c>
      <c r="K15" s="63">
        <f t="shared" ref="K15" si="9">(F15*H15*I15)+J15+L15</f>
        <v>41452.800000000003</v>
      </c>
      <c r="L15" s="64">
        <v>0</v>
      </c>
      <c r="M15" s="86">
        <f t="shared" ref="M15" si="10">(K15-L15)/$O$2*0.18</f>
        <v>5875.2000000000007</v>
      </c>
      <c r="N15" s="66">
        <f t="shared" ref="N15" si="11">(K15/$O$2-M15-F15)/(K15/$O$2)</f>
        <v>8.4705882352941256E-2</v>
      </c>
      <c r="O15" s="85"/>
      <c r="P15" s="85"/>
    </row>
  </sheetData>
  <mergeCells count="7">
    <mergeCell ref="A1:A15"/>
    <mergeCell ref="B1:N1"/>
    <mergeCell ref="B2:C2"/>
    <mergeCell ref="D2:E2"/>
    <mergeCell ref="B12:N12"/>
    <mergeCell ref="B13:C13"/>
    <mergeCell ref="D13:E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6050-0AD9-4338-BF69-F5FC7CF9BE7C}">
  <dimension ref="B1:Q150"/>
  <sheetViews>
    <sheetView topLeftCell="A130" zoomScale="70" zoomScaleNormal="70" workbookViewId="0">
      <selection activeCell="A131" sqref="A131:XFD150"/>
    </sheetView>
  </sheetViews>
  <sheetFormatPr defaultRowHeight="15" x14ac:dyDescent="0.25"/>
  <cols>
    <col min="2" max="2" width="7.140625" bestFit="1" customWidth="1"/>
    <col min="3" max="3" width="22.140625" bestFit="1" customWidth="1"/>
    <col min="4" max="4" width="20.42578125" style="21" bestFit="1" customWidth="1"/>
    <col min="5" max="5" width="9.85546875" bestFit="1" customWidth="1"/>
    <col min="6" max="6" width="12.5703125" bestFit="1" customWidth="1"/>
    <col min="7" max="7" width="16.5703125" bestFit="1" customWidth="1"/>
    <col min="8" max="8" width="18.7109375" bestFit="1" customWidth="1"/>
    <col min="9" max="9" width="17.7109375" bestFit="1" customWidth="1"/>
    <col min="10" max="10" width="15.7109375" bestFit="1" customWidth="1"/>
    <col min="11" max="11" width="8.5703125" bestFit="1" customWidth="1"/>
    <col min="12" max="12" width="14.5703125" bestFit="1" customWidth="1"/>
    <col min="13" max="13" width="30.28515625" style="21" bestFit="1" customWidth="1"/>
    <col min="14" max="14" width="25.5703125" bestFit="1" customWidth="1"/>
    <col min="15" max="15" width="14.42578125" bestFit="1" customWidth="1"/>
    <col min="16" max="16" width="29.140625" bestFit="1" customWidth="1"/>
    <col min="17" max="17" width="9.5703125" bestFit="1" customWidth="1"/>
  </cols>
  <sheetData>
    <row r="1" spans="2:17" ht="15.75" thickBot="1" x14ac:dyDescent="0.3"/>
    <row r="2" spans="2:17" ht="18.75" x14ac:dyDescent="0.3">
      <c r="B2" s="122" t="s">
        <v>21</v>
      </c>
      <c r="C2" s="131" t="s">
        <v>16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</row>
    <row r="3" spans="2:17" x14ac:dyDescent="0.25">
      <c r="B3" s="123"/>
      <c r="C3" s="1" t="s">
        <v>19</v>
      </c>
      <c r="D3" s="2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2" t="s">
        <v>11</v>
      </c>
      <c r="N3" s="2" t="s">
        <v>12</v>
      </c>
      <c r="O3" s="2" t="s">
        <v>13</v>
      </c>
      <c r="P3" s="2" t="s">
        <v>14</v>
      </c>
      <c r="Q3" s="3" t="s">
        <v>15</v>
      </c>
    </row>
    <row r="4" spans="2:17" ht="15.75" x14ac:dyDescent="0.25">
      <c r="B4" s="123"/>
      <c r="C4" s="4">
        <v>49.2</v>
      </c>
      <c r="D4" s="22">
        <v>5400</v>
      </c>
      <c r="E4" s="20">
        <v>2.13</v>
      </c>
      <c r="F4" s="2">
        <v>86</v>
      </c>
      <c r="G4" s="2">
        <v>1</v>
      </c>
      <c r="H4" s="5">
        <v>0</v>
      </c>
      <c r="I4" s="2">
        <v>1</v>
      </c>
      <c r="J4" s="2">
        <v>0</v>
      </c>
      <c r="K4" s="6">
        <v>0.18</v>
      </c>
      <c r="L4" s="2">
        <v>3410</v>
      </c>
      <c r="M4" s="22">
        <f>(C4+H4)*E4*F4*G4*I4+J4+L4</f>
        <v>12422.456</v>
      </c>
      <c r="N4" s="8">
        <f>((M4/1.21)-L4)*0.18</f>
        <v>1234.1686611570249</v>
      </c>
      <c r="O4" s="9">
        <v>0.28000000000000003</v>
      </c>
      <c r="P4" s="8">
        <f>(((1-O4)*C4)/1.23)*F4+D4+N4</f>
        <v>9110.9686611570251</v>
      </c>
      <c r="Q4" s="19">
        <f>(M4/1.21-P4)/(M4/1.21)</f>
        <v>0.11255293800195394</v>
      </c>
    </row>
    <row r="5" spans="2:17" ht="15.75" x14ac:dyDescent="0.25">
      <c r="B5" s="123"/>
      <c r="C5" s="10">
        <v>127.92</v>
      </c>
      <c r="D5" s="22">
        <v>5400</v>
      </c>
      <c r="E5" s="20">
        <v>1.43</v>
      </c>
      <c r="F5" s="2">
        <v>86</v>
      </c>
      <c r="G5" s="2">
        <v>1</v>
      </c>
      <c r="H5" s="11">
        <v>0</v>
      </c>
      <c r="I5" s="2">
        <v>1</v>
      </c>
      <c r="J5" s="2">
        <v>0</v>
      </c>
      <c r="K5" s="6">
        <v>0.18</v>
      </c>
      <c r="L5" s="2">
        <v>3410</v>
      </c>
      <c r="M5" s="22">
        <f>(C5+H5)*E5*F5*G5*I5+J5+L5</f>
        <v>19141.601600000002</v>
      </c>
      <c r="N5" s="8">
        <f>((M5/1.21)-L5)*0.18</f>
        <v>2233.7109818181821</v>
      </c>
      <c r="O5" s="9">
        <v>0.28000000000000003</v>
      </c>
      <c r="P5" s="8">
        <f>(((1-O5)*C5)/1.23)*F5+D5+N5</f>
        <v>14073.390981818182</v>
      </c>
      <c r="Q5" s="19">
        <f>(M5/1.21-P5)/(M5/1.21)</f>
        <v>0.11037731095604886</v>
      </c>
    </row>
    <row r="6" spans="2:17" ht="15.75" x14ac:dyDescent="0.25">
      <c r="B6" s="123"/>
      <c r="C6" s="12">
        <v>238.62</v>
      </c>
      <c r="D6" s="22">
        <v>5400</v>
      </c>
      <c r="E6" s="20">
        <v>1.22</v>
      </c>
      <c r="F6" s="2">
        <v>86</v>
      </c>
      <c r="G6" s="2">
        <v>1</v>
      </c>
      <c r="H6" s="13">
        <v>0</v>
      </c>
      <c r="I6" s="2">
        <v>1</v>
      </c>
      <c r="J6" s="2">
        <v>0</v>
      </c>
      <c r="K6" s="6">
        <v>0.18</v>
      </c>
      <c r="L6" s="2">
        <v>3410</v>
      </c>
      <c r="M6" s="22">
        <f>(C6+H6)*E6*F6*G6*I6+J6+L6</f>
        <v>28446.010399999999</v>
      </c>
      <c r="N6" s="8">
        <f>((M6/1.21)-L6)*0.18</f>
        <v>3617.8379107438013</v>
      </c>
      <c r="O6" s="9">
        <v>0.28000000000000003</v>
      </c>
      <c r="P6" s="8">
        <f>(((1-O6)*C6)/1.23)*F6+D6+N6</f>
        <v>21030.317910743805</v>
      </c>
      <c r="Q6" s="19">
        <f>(M6/1.21-P6)/(M6/1.21)</f>
        <v>0.10543924036532014</v>
      </c>
    </row>
    <row r="7" spans="2:17" ht="15.75" x14ac:dyDescent="0.25">
      <c r="B7" s="123"/>
      <c r="C7" s="14">
        <v>437.88</v>
      </c>
      <c r="D7" s="22">
        <v>10800</v>
      </c>
      <c r="E7" s="20">
        <v>1.28</v>
      </c>
      <c r="F7" s="2">
        <v>86</v>
      </c>
      <c r="G7" s="2">
        <v>1</v>
      </c>
      <c r="H7" s="15">
        <v>0</v>
      </c>
      <c r="I7" s="2">
        <v>1</v>
      </c>
      <c r="J7" s="2">
        <v>0</v>
      </c>
      <c r="K7" s="6">
        <v>0.18</v>
      </c>
      <c r="L7" s="2">
        <v>5610</v>
      </c>
      <c r="M7" s="22">
        <f>(C7+H7)*E7*F7*G7*I7+J7+L7</f>
        <v>53811.830399999999</v>
      </c>
      <c r="N7" s="8">
        <f>((M7/1.21)-L7)*0.18</f>
        <v>6995.2656793388433</v>
      </c>
      <c r="O7" s="9">
        <v>0.28000000000000003</v>
      </c>
      <c r="P7" s="8">
        <f>(((1-O7)*C7)/1.23)*F7+D7+N7</f>
        <v>39838.785679338849</v>
      </c>
      <c r="Q7" s="19">
        <f>(M7/1.21-P7)/(M7/1.21)</f>
        <v>0.10419455510660339</v>
      </c>
    </row>
    <row r="8" spans="2:17" ht="15.75" x14ac:dyDescent="0.25">
      <c r="B8" s="123"/>
      <c r="C8" s="16">
        <v>992.61</v>
      </c>
      <c r="D8" s="22">
        <v>10800</v>
      </c>
      <c r="E8" s="20">
        <v>1.01</v>
      </c>
      <c r="F8" s="2">
        <v>86</v>
      </c>
      <c r="G8" s="2">
        <v>1</v>
      </c>
      <c r="H8" s="17">
        <v>0</v>
      </c>
      <c r="I8" s="2">
        <v>1</v>
      </c>
      <c r="J8" s="2">
        <v>0</v>
      </c>
      <c r="K8" s="6">
        <v>0.18</v>
      </c>
      <c r="L8" s="2">
        <v>12320</v>
      </c>
      <c r="M8" s="22">
        <f>(C8+H8)*E8*F8*G8*I8+J8+L8</f>
        <v>98538.104600000006</v>
      </c>
      <c r="N8" s="8">
        <f>((M8/1.21)-L8)*0.18</f>
        <v>12440.961014876033</v>
      </c>
      <c r="O8" s="9">
        <v>0.28000000000000003</v>
      </c>
      <c r="P8" s="8">
        <f>(((1-O8)*C8)/1.23)*F8+D8+N8</f>
        <v>73210.401014876043</v>
      </c>
      <c r="Q8" s="19">
        <f>(M8/1.21-P8)/(M8/1.21)</f>
        <v>0.10101188177309423</v>
      </c>
    </row>
    <row r="9" spans="2:17" x14ac:dyDescent="0.25">
      <c r="B9" s="123"/>
      <c r="Q9" s="18"/>
    </row>
    <row r="10" spans="2:17" x14ac:dyDescent="0.25">
      <c r="B10" s="123"/>
      <c r="Q10" s="18"/>
    </row>
    <row r="11" spans="2:17" ht="18.75" x14ac:dyDescent="0.3">
      <c r="B11" s="123"/>
      <c r="C11" s="134" t="s">
        <v>17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</row>
    <row r="12" spans="2:17" x14ac:dyDescent="0.25">
      <c r="B12" s="123"/>
      <c r="C12" s="1" t="s">
        <v>19</v>
      </c>
      <c r="D12" s="2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2" t="s">
        <v>11</v>
      </c>
      <c r="N12" s="2" t="s">
        <v>12</v>
      </c>
      <c r="O12" s="2" t="s">
        <v>13</v>
      </c>
      <c r="P12" s="2" t="s">
        <v>14</v>
      </c>
      <c r="Q12" s="3" t="s">
        <v>15</v>
      </c>
    </row>
    <row r="13" spans="2:17" ht="15.75" x14ac:dyDescent="0.25">
      <c r="B13" s="123"/>
      <c r="C13" s="4"/>
      <c r="D13" s="22">
        <v>5400</v>
      </c>
      <c r="E13" s="2"/>
      <c r="F13" s="2">
        <v>86</v>
      </c>
      <c r="G13" s="2">
        <v>1</v>
      </c>
      <c r="H13" s="5">
        <v>0</v>
      </c>
      <c r="I13" s="2">
        <v>1</v>
      </c>
      <c r="J13" s="2">
        <v>0</v>
      </c>
      <c r="K13" s="6">
        <v>0.18</v>
      </c>
      <c r="L13" s="2">
        <v>3410</v>
      </c>
      <c r="M13" s="22">
        <f>(C13+H13)*E13*F13*G13*I13+J13+L13</f>
        <v>3410</v>
      </c>
      <c r="N13" s="8">
        <f>((M13/1.21)-L13)*0.18</f>
        <v>-106.52727272727267</v>
      </c>
      <c r="O13" s="9">
        <v>0.28000000000000003</v>
      </c>
      <c r="P13" s="8">
        <f>(((1-O13)*C13)/1.23)*F13+D13+N13</f>
        <v>5293.4727272727278</v>
      </c>
      <c r="Q13" s="19">
        <f>(M13/1.21-P13)/(M13/1.21)</f>
        <v>-0.87832903225806447</v>
      </c>
    </row>
    <row r="14" spans="2:17" ht="15.75" x14ac:dyDescent="0.25">
      <c r="B14" s="123"/>
      <c r="C14" s="10"/>
      <c r="D14" s="22">
        <v>5400</v>
      </c>
      <c r="E14" s="2"/>
      <c r="F14" s="2">
        <v>86</v>
      </c>
      <c r="G14" s="2">
        <v>1</v>
      </c>
      <c r="H14" s="11">
        <v>0</v>
      </c>
      <c r="I14" s="2">
        <v>1</v>
      </c>
      <c r="J14" s="2">
        <v>0</v>
      </c>
      <c r="K14" s="6">
        <v>0.18</v>
      </c>
      <c r="L14" s="2">
        <v>3410</v>
      </c>
      <c r="M14" s="22">
        <f>(C14+H14)*E14*F14*G14*I14+J14+L14</f>
        <v>3410</v>
      </c>
      <c r="N14" s="8">
        <f>((M14/1.21)-L14)*0.18</f>
        <v>-106.52727272727267</v>
      </c>
      <c r="O14" s="9">
        <v>0.28000000000000003</v>
      </c>
      <c r="P14" s="8">
        <f>(((1-O14)*C14)/1.23)*F14+D14+N14</f>
        <v>5293.4727272727278</v>
      </c>
      <c r="Q14" s="19">
        <f>(M14/1.21-P14)/(M14/1.21)</f>
        <v>-0.87832903225806447</v>
      </c>
    </row>
    <row r="15" spans="2:17" ht="15.75" x14ac:dyDescent="0.25">
      <c r="B15" s="123"/>
      <c r="C15" s="12"/>
      <c r="D15" s="22">
        <v>5400</v>
      </c>
      <c r="E15" s="2"/>
      <c r="F15" s="2">
        <v>86</v>
      </c>
      <c r="G15" s="2">
        <v>1</v>
      </c>
      <c r="H15" s="13">
        <v>0</v>
      </c>
      <c r="I15" s="2">
        <v>1</v>
      </c>
      <c r="J15" s="2">
        <v>0</v>
      </c>
      <c r="K15" s="6">
        <v>0.18</v>
      </c>
      <c r="L15" s="2">
        <v>3410</v>
      </c>
      <c r="M15" s="22">
        <f>(C15+H15)*E15*F15*G15*I15+J15+L15</f>
        <v>3410</v>
      </c>
      <c r="N15" s="8">
        <f>((M15/1.21)-L15)*0.18</f>
        <v>-106.52727272727267</v>
      </c>
      <c r="O15" s="9">
        <v>0.28000000000000003</v>
      </c>
      <c r="P15" s="8">
        <f>(((1-O15)*C15)/1.23)*F15+D15+N15</f>
        <v>5293.4727272727278</v>
      </c>
      <c r="Q15" s="19">
        <f>(M15/1.21-P15)/(M15/1.21)</f>
        <v>-0.87832903225806447</v>
      </c>
    </row>
    <row r="16" spans="2:17" ht="15.75" x14ac:dyDescent="0.25">
      <c r="B16" s="123"/>
      <c r="C16" s="14"/>
      <c r="D16" s="22">
        <v>10800</v>
      </c>
      <c r="E16" s="2"/>
      <c r="F16" s="2">
        <v>86</v>
      </c>
      <c r="G16" s="2">
        <v>1</v>
      </c>
      <c r="H16" s="15">
        <v>0</v>
      </c>
      <c r="I16" s="2">
        <v>1</v>
      </c>
      <c r="J16" s="2">
        <v>0</v>
      </c>
      <c r="K16" s="6">
        <v>0.18</v>
      </c>
      <c r="L16" s="2">
        <v>5610</v>
      </c>
      <c r="M16" s="22">
        <f>(C16+H16)*E16*F16*G16*I16+J16+L16</f>
        <v>5610</v>
      </c>
      <c r="N16" s="8">
        <f>((M16/1.21)-L16)*0.18</f>
        <v>-175.25454545454534</v>
      </c>
      <c r="O16" s="9">
        <v>0.28000000000000003</v>
      </c>
      <c r="P16" s="8">
        <f>(((1-O16)*C16)/1.23)*F16+D16+N16</f>
        <v>10624.745454545455</v>
      </c>
      <c r="Q16" s="19">
        <f>(M16/1.21-P16)/(M16/1.21)</f>
        <v>-1.291611764705882</v>
      </c>
    </row>
    <row r="17" spans="2:17" ht="16.5" thickBot="1" x14ac:dyDescent="0.3">
      <c r="B17" s="124"/>
      <c r="C17" s="16"/>
      <c r="D17" s="22">
        <v>10800</v>
      </c>
      <c r="E17" s="2"/>
      <c r="F17" s="2">
        <v>86</v>
      </c>
      <c r="G17" s="2">
        <v>1</v>
      </c>
      <c r="H17" s="17">
        <v>0</v>
      </c>
      <c r="I17" s="2">
        <v>1</v>
      </c>
      <c r="J17" s="2">
        <v>0</v>
      </c>
      <c r="K17" s="6">
        <v>0.18</v>
      </c>
      <c r="L17" s="2">
        <v>12320</v>
      </c>
      <c r="M17" s="22">
        <f>(C17+H17)*E17*F17*G17*I17+J17+L17</f>
        <v>12320</v>
      </c>
      <c r="N17" s="8">
        <f>((M17/1.21)-L17)*0.18</f>
        <v>-384.87272727272722</v>
      </c>
      <c r="O17" s="9">
        <v>0.28000000000000003</v>
      </c>
      <c r="P17" s="8">
        <f>(((1-O17)*C17)/1.23)*F17+D17+N17</f>
        <v>10415.127272727274</v>
      </c>
      <c r="Q17" s="19">
        <f>(M17/1.21-P17)/(M17/1.21)</f>
        <v>-2.2914285714285776E-2</v>
      </c>
    </row>
    <row r="20" spans="2:17" ht="15.75" thickBot="1" x14ac:dyDescent="0.3"/>
    <row r="21" spans="2:17" ht="18.75" x14ac:dyDescent="0.3">
      <c r="B21" s="122" t="s">
        <v>22</v>
      </c>
      <c r="C21" s="131" t="s">
        <v>16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3"/>
    </row>
    <row r="22" spans="2:17" x14ac:dyDescent="0.25">
      <c r="B22" s="123"/>
      <c r="C22" s="1" t="s">
        <v>19</v>
      </c>
      <c r="D22" s="22" t="s">
        <v>2</v>
      </c>
      <c r="E22" s="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9</v>
      </c>
      <c r="L22" s="2" t="s">
        <v>10</v>
      </c>
      <c r="M22" s="22" t="s">
        <v>11</v>
      </c>
      <c r="N22" s="2" t="s">
        <v>12</v>
      </c>
      <c r="O22" s="2" t="s">
        <v>13</v>
      </c>
      <c r="P22" s="2" t="s">
        <v>14</v>
      </c>
      <c r="Q22" s="3" t="s">
        <v>15</v>
      </c>
    </row>
    <row r="23" spans="2:17" ht="15.75" x14ac:dyDescent="0.25">
      <c r="B23" s="123"/>
      <c r="C23" s="4">
        <v>36</v>
      </c>
      <c r="D23" s="22">
        <v>5400</v>
      </c>
      <c r="E23" s="20">
        <v>1.9670000000000001</v>
      </c>
      <c r="F23" s="2">
        <v>86</v>
      </c>
      <c r="G23" s="2">
        <v>1</v>
      </c>
      <c r="H23" s="20">
        <v>30</v>
      </c>
      <c r="I23" s="2">
        <v>1</v>
      </c>
      <c r="J23" s="2">
        <v>0</v>
      </c>
      <c r="K23" s="6">
        <v>0.18</v>
      </c>
      <c r="L23" s="2">
        <v>1380</v>
      </c>
      <c r="M23" s="22">
        <f>(C23+H23)*E23*F23*G23*I23+J23+L23</f>
        <v>12544.692000000001</v>
      </c>
      <c r="N23" s="8">
        <f>((M23/1.21)-L23)*0.18</f>
        <v>1617.75252892562</v>
      </c>
      <c r="O23" s="9">
        <v>0.25</v>
      </c>
      <c r="P23" s="8">
        <f>(((1-O23)*C23)/1.23)*F23+D23+N23</f>
        <v>8905.5574069743998</v>
      </c>
      <c r="Q23" s="19">
        <f>(M23/1.21-P23)/(M23/1.21)</f>
        <v>0.14101322994306895</v>
      </c>
    </row>
    <row r="24" spans="2:17" ht="15.75" x14ac:dyDescent="0.25">
      <c r="B24" s="123"/>
      <c r="C24" s="10">
        <v>179</v>
      </c>
      <c r="D24" s="22">
        <v>5400</v>
      </c>
      <c r="E24" s="20">
        <v>1.2450000000000001</v>
      </c>
      <c r="F24" s="2">
        <v>86</v>
      </c>
      <c r="G24" s="2">
        <v>1</v>
      </c>
      <c r="H24" s="20">
        <v>15</v>
      </c>
      <c r="I24" s="2">
        <v>1</v>
      </c>
      <c r="J24" s="2">
        <v>0</v>
      </c>
      <c r="K24" s="6">
        <v>0.18</v>
      </c>
      <c r="L24" s="2">
        <v>3410</v>
      </c>
      <c r="M24" s="22">
        <f>(C24+H24)*E24*F24*G24*I24+J24+L24</f>
        <v>24181.58</v>
      </c>
      <c r="N24" s="8">
        <f>((M24/1.21)-L24)*0.18</f>
        <v>2983.459834710744</v>
      </c>
      <c r="O24" s="9">
        <v>0.25</v>
      </c>
      <c r="P24" s="8">
        <f>(((1-O24)*C24)/1.23)*F24+D24+N24</f>
        <v>17770.045200564404</v>
      </c>
      <c r="Q24" s="19">
        <f>(M24/1.21-P24)/(M24/1.21)</f>
        <v>0.110820935080217</v>
      </c>
    </row>
    <row r="25" spans="2:17" ht="15.75" x14ac:dyDescent="0.25">
      <c r="B25" s="123"/>
      <c r="C25" s="12">
        <v>269</v>
      </c>
      <c r="D25" s="22">
        <v>5400</v>
      </c>
      <c r="E25" s="20">
        <v>1.24</v>
      </c>
      <c r="F25" s="2">
        <v>86</v>
      </c>
      <c r="G25" s="2">
        <v>1</v>
      </c>
      <c r="H25" s="20">
        <v>0</v>
      </c>
      <c r="I25" s="2">
        <v>1</v>
      </c>
      <c r="J25" s="2">
        <v>0</v>
      </c>
      <c r="K25" s="6">
        <v>0.18</v>
      </c>
      <c r="L25" s="2">
        <v>5610</v>
      </c>
      <c r="M25" s="22">
        <f>(C25+H25)*E25*F25*G25*I25+J25+L25</f>
        <v>34296.160000000003</v>
      </c>
      <c r="N25" s="8">
        <f>((M25/1.21)-L25)*0.18</f>
        <v>4092.1080991735539</v>
      </c>
      <c r="O25" s="9">
        <v>0.25</v>
      </c>
      <c r="P25" s="8">
        <f>(((1-O25)*C25)/1.23)*F25+D25+N25</f>
        <v>23598.205660149164</v>
      </c>
      <c r="Q25" s="19">
        <f>(M25/1.21-P25)/(M25/1.21)</f>
        <v>0.16743364712607808</v>
      </c>
    </row>
    <row r="26" spans="2:17" ht="15.75" x14ac:dyDescent="0.25">
      <c r="B26" s="123"/>
      <c r="C26" s="14">
        <v>769</v>
      </c>
      <c r="D26" s="22">
        <v>10800</v>
      </c>
      <c r="E26" s="20">
        <v>1.06</v>
      </c>
      <c r="F26" s="2">
        <v>86</v>
      </c>
      <c r="G26" s="2">
        <v>1</v>
      </c>
      <c r="H26" s="20">
        <v>0</v>
      </c>
      <c r="I26" s="2">
        <v>1</v>
      </c>
      <c r="J26" s="2">
        <v>0</v>
      </c>
      <c r="K26" s="6">
        <v>0.18</v>
      </c>
      <c r="L26" s="2">
        <v>12320</v>
      </c>
      <c r="M26" s="22">
        <f>(C26+H26)*E26*F26*G26*I26+J26+L26</f>
        <v>82422.039999999994</v>
      </c>
      <c r="N26" s="8">
        <f>((M26/1.21)-L26)*0.18</f>
        <v>10043.52991735537</v>
      </c>
      <c r="O26" s="9">
        <v>0.25</v>
      </c>
      <c r="P26" s="8">
        <f>(((1-O26)*C26)/1.23)*F26+D26+N26</f>
        <v>61169.139673452933</v>
      </c>
      <c r="Q26" s="19">
        <f>(M26/1.21-P26)/(M26/1.21)</f>
        <v>0.10200403915168733</v>
      </c>
    </row>
    <row r="27" spans="2:17" ht="15.75" x14ac:dyDescent="0.25">
      <c r="B27" s="123"/>
      <c r="C27" s="16">
        <v>1999</v>
      </c>
      <c r="D27" s="22">
        <v>10800</v>
      </c>
      <c r="E27" s="20">
        <v>0.98</v>
      </c>
      <c r="F27" s="2">
        <v>86</v>
      </c>
      <c r="G27" s="2">
        <v>1</v>
      </c>
      <c r="H27" s="20">
        <v>0</v>
      </c>
      <c r="I27" s="2">
        <v>1</v>
      </c>
      <c r="J27" s="2">
        <v>0</v>
      </c>
      <c r="K27" s="6">
        <v>0.18</v>
      </c>
      <c r="L27" s="2">
        <v>19605</v>
      </c>
      <c r="M27" s="22">
        <f>(C27+H27)*E27*F27*G27*I27+J27+L27</f>
        <v>188080.72</v>
      </c>
      <c r="N27" s="8">
        <f>((M27/1.21)-L27)*0.18</f>
        <v>24450.05008264463</v>
      </c>
      <c r="O27" s="9">
        <v>0.25</v>
      </c>
      <c r="P27" s="8">
        <f>(((1-O27)*C27)/1.23)*F27+D27+N27</f>
        <v>140075.6598387422</v>
      </c>
      <c r="Q27" s="19">
        <f>(M27/1.21-P27)/(M27/1.21)</f>
        <v>9.8836135862952618E-2</v>
      </c>
    </row>
    <row r="28" spans="2:17" x14ac:dyDescent="0.25">
      <c r="B28" s="123"/>
      <c r="Q28" s="18"/>
    </row>
    <row r="29" spans="2:17" x14ac:dyDescent="0.25">
      <c r="B29" s="123"/>
      <c r="Q29" s="18"/>
    </row>
    <row r="30" spans="2:17" ht="18.75" x14ac:dyDescent="0.3">
      <c r="B30" s="123"/>
      <c r="C30" s="134" t="s">
        <v>17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6"/>
    </row>
    <row r="31" spans="2:17" x14ac:dyDescent="0.25">
      <c r="B31" s="123"/>
      <c r="C31" s="1" t="s">
        <v>19</v>
      </c>
      <c r="D31" s="2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2" t="s">
        <v>11</v>
      </c>
      <c r="N31" s="2" t="s">
        <v>12</v>
      </c>
      <c r="O31" s="2" t="s">
        <v>13</v>
      </c>
      <c r="P31" s="2" t="s">
        <v>14</v>
      </c>
      <c r="Q31" s="3" t="s">
        <v>15</v>
      </c>
    </row>
    <row r="32" spans="2:17" ht="15.75" x14ac:dyDescent="0.25">
      <c r="B32" s="123"/>
      <c r="C32" s="4"/>
      <c r="D32" s="22">
        <v>5400</v>
      </c>
      <c r="E32" s="2"/>
      <c r="F32" s="2">
        <v>86</v>
      </c>
      <c r="G32" s="2">
        <v>1</v>
      </c>
      <c r="H32" s="5">
        <v>0</v>
      </c>
      <c r="I32" s="2">
        <v>1</v>
      </c>
      <c r="J32" s="2">
        <v>0</v>
      </c>
      <c r="K32" s="6">
        <v>0.18</v>
      </c>
      <c r="L32" s="2">
        <v>1000</v>
      </c>
      <c r="M32" s="22">
        <f>(C32+H32)*E32*F32*G32*I32+J32+L32</f>
        <v>1000</v>
      </c>
      <c r="N32" s="8">
        <f>((M32/1.21)-L32)*0.18</f>
        <v>-31.239669421487601</v>
      </c>
      <c r="O32" s="9">
        <v>0.25</v>
      </c>
      <c r="P32" s="8">
        <f>(((1-O32)*C32)/1.23)*F32+D32+N32</f>
        <v>5368.7603305785124</v>
      </c>
      <c r="Q32" s="19">
        <f>(M32/1.21-P32)/(M32/1.21)</f>
        <v>-5.4962</v>
      </c>
    </row>
    <row r="33" spans="2:17" ht="15.75" x14ac:dyDescent="0.25">
      <c r="B33" s="123"/>
      <c r="C33" s="10"/>
      <c r="D33" s="22">
        <v>5400</v>
      </c>
      <c r="E33" s="2"/>
      <c r="F33" s="2">
        <v>86</v>
      </c>
      <c r="G33" s="2">
        <v>1</v>
      </c>
      <c r="H33" s="11">
        <v>0</v>
      </c>
      <c r="I33" s="2">
        <v>1</v>
      </c>
      <c r="J33" s="2">
        <v>0</v>
      </c>
      <c r="K33" s="6">
        <v>0.18</v>
      </c>
      <c r="L33" s="2">
        <v>3410</v>
      </c>
      <c r="M33" s="22">
        <f>(C33+H33)*E33*F33*G33*I33+J33+L33</f>
        <v>3410</v>
      </c>
      <c r="N33" s="8">
        <f>((M33/1.21)-L33)*0.18</f>
        <v>-106.52727272727267</v>
      </c>
      <c r="O33" s="9">
        <v>0.25</v>
      </c>
      <c r="P33" s="8">
        <f>(((1-O33)*C33)/1.23)*F33+D33+N33</f>
        <v>5293.4727272727278</v>
      </c>
      <c r="Q33" s="19">
        <f>(M33/1.21-P33)/(M33/1.21)</f>
        <v>-0.87832903225806447</v>
      </c>
    </row>
    <row r="34" spans="2:17" ht="15.75" x14ac:dyDescent="0.25">
      <c r="B34" s="123"/>
      <c r="C34" s="12"/>
      <c r="D34" s="22">
        <v>5400</v>
      </c>
      <c r="E34" s="2"/>
      <c r="F34" s="2">
        <v>86</v>
      </c>
      <c r="G34" s="2">
        <v>1</v>
      </c>
      <c r="H34" s="13">
        <v>0</v>
      </c>
      <c r="I34" s="2">
        <v>1</v>
      </c>
      <c r="J34" s="2">
        <v>0</v>
      </c>
      <c r="K34" s="6">
        <v>0.18</v>
      </c>
      <c r="L34" s="2">
        <v>3410</v>
      </c>
      <c r="M34" s="22">
        <f>(C34+H34)*E34*F34*G34*I34+J34+L34</f>
        <v>3410</v>
      </c>
      <c r="N34" s="8">
        <f>((M34/1.21)-L34)*0.18</f>
        <v>-106.52727272727267</v>
      </c>
      <c r="O34" s="9">
        <v>0.25</v>
      </c>
      <c r="P34" s="8">
        <f>(((1-O34)*C34)/1.23)*F34+D34+N34</f>
        <v>5293.4727272727278</v>
      </c>
      <c r="Q34" s="19">
        <f>(M34/1.21-P34)/(M34/1.21)</f>
        <v>-0.87832903225806447</v>
      </c>
    </row>
    <row r="35" spans="2:17" ht="15.75" x14ac:dyDescent="0.25">
      <c r="B35" s="123"/>
      <c r="C35" s="14"/>
      <c r="D35" s="22">
        <v>10800</v>
      </c>
      <c r="E35" s="2"/>
      <c r="F35" s="2">
        <v>86</v>
      </c>
      <c r="G35" s="2">
        <v>1</v>
      </c>
      <c r="H35" s="15">
        <v>0</v>
      </c>
      <c r="I35" s="2">
        <v>1</v>
      </c>
      <c r="J35" s="2">
        <v>0</v>
      </c>
      <c r="K35" s="6">
        <v>0.18</v>
      </c>
      <c r="L35" s="2">
        <v>12320</v>
      </c>
      <c r="M35" s="22">
        <f>(C35+H35)*E35*F35*G35*I35+J35+L35</f>
        <v>12320</v>
      </c>
      <c r="N35" s="8">
        <f>((M35/1.21)-L35)*0.18</f>
        <v>-384.87272727272722</v>
      </c>
      <c r="O35" s="9">
        <v>0.25</v>
      </c>
      <c r="P35" s="8">
        <f>(((1-O35)*C35)/1.23)*F35+D35+N35</f>
        <v>10415.127272727274</v>
      </c>
      <c r="Q35" s="19">
        <f>(M35/1.21-P35)/(M35/1.21)</f>
        <v>-2.2914285714285776E-2</v>
      </c>
    </row>
    <row r="36" spans="2:17" ht="16.5" thickBot="1" x14ac:dyDescent="0.3">
      <c r="B36" s="124"/>
      <c r="C36" s="16"/>
      <c r="D36" s="22">
        <v>10800</v>
      </c>
      <c r="E36" s="2"/>
      <c r="F36" s="2">
        <v>86</v>
      </c>
      <c r="G36" s="2">
        <v>1</v>
      </c>
      <c r="H36" s="17">
        <v>0</v>
      </c>
      <c r="I36" s="2">
        <v>1</v>
      </c>
      <c r="J36" s="2">
        <v>0</v>
      </c>
      <c r="K36" s="6">
        <v>0.18</v>
      </c>
      <c r="L36" s="2">
        <v>19650</v>
      </c>
      <c r="M36" s="22">
        <f>(C36+H36)*E36*F36*G36*I36+J36+L36</f>
        <v>19650</v>
      </c>
      <c r="N36" s="8">
        <f>((M36/1.21)-L36)*0.18</f>
        <v>-613.85950413223122</v>
      </c>
      <c r="O36" s="9">
        <v>0.25</v>
      </c>
      <c r="P36" s="8">
        <f>(((1-O36)*C36)/1.23)*F36+D36+N36</f>
        <v>10186.140495867769</v>
      </c>
      <c r="Q36" s="19">
        <f>(M36/1.21-P36)/(M36/1.21)</f>
        <v>0.37276183206106872</v>
      </c>
    </row>
    <row r="39" spans="2:17" ht="15.75" thickBot="1" x14ac:dyDescent="0.3"/>
    <row r="40" spans="2:17" ht="18.75" x14ac:dyDescent="0.3">
      <c r="B40" s="122" t="s">
        <v>23</v>
      </c>
      <c r="C40" s="131" t="s">
        <v>16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3"/>
    </row>
    <row r="41" spans="2:17" x14ac:dyDescent="0.25">
      <c r="B41" s="123"/>
      <c r="C41" s="1" t="s">
        <v>1</v>
      </c>
      <c r="D41" s="22" t="s">
        <v>2</v>
      </c>
      <c r="E41" s="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9</v>
      </c>
      <c r="L41" s="2" t="s">
        <v>10</v>
      </c>
      <c r="M41" s="22" t="s">
        <v>11</v>
      </c>
      <c r="N41" s="2" t="s">
        <v>12</v>
      </c>
      <c r="O41" s="2" t="s">
        <v>13</v>
      </c>
      <c r="P41" s="2" t="s">
        <v>14</v>
      </c>
      <c r="Q41" s="3" t="s">
        <v>15</v>
      </c>
    </row>
    <row r="42" spans="2:17" ht="15.75" x14ac:dyDescent="0.25">
      <c r="B42" s="123"/>
      <c r="C42" s="4">
        <v>8.94</v>
      </c>
      <c r="D42" s="22">
        <v>5400</v>
      </c>
      <c r="E42" s="20">
        <v>1.69</v>
      </c>
      <c r="F42" s="2">
        <v>86</v>
      </c>
      <c r="G42" s="2">
        <v>1.23</v>
      </c>
      <c r="H42" s="20">
        <v>40</v>
      </c>
      <c r="I42" s="2">
        <v>1</v>
      </c>
      <c r="J42" s="2">
        <v>0</v>
      </c>
      <c r="K42" s="6">
        <v>0.18</v>
      </c>
      <c r="L42" s="2">
        <v>1380</v>
      </c>
      <c r="M42" s="22">
        <f>(C42+H42)*E42*F42*G42*I42+J42+L42</f>
        <v>10128.915707999999</v>
      </c>
      <c r="N42" s="8">
        <f>((M42/1.21)-L42)*0.18</f>
        <v>1258.3808491239665</v>
      </c>
      <c r="O42" s="9">
        <v>0</v>
      </c>
      <c r="P42" s="8">
        <f>(1-O42)*C42*F42+D42+N42</f>
        <v>7427.2208491239671</v>
      </c>
      <c r="Q42" s="19">
        <f>(M42/1.21-P42)/(M42/1.21)</f>
        <v>0.1127443956965742</v>
      </c>
    </row>
    <row r="43" spans="2:17" ht="15.75" x14ac:dyDescent="0.25">
      <c r="B43" s="123"/>
      <c r="C43" s="10">
        <v>28.14</v>
      </c>
      <c r="D43" s="22">
        <v>5400</v>
      </c>
      <c r="E43" s="20">
        <v>1.87</v>
      </c>
      <c r="F43" s="2">
        <v>86</v>
      </c>
      <c r="G43" s="2">
        <v>1.23</v>
      </c>
      <c r="H43" s="20">
        <v>30</v>
      </c>
      <c r="I43" s="2">
        <v>1</v>
      </c>
      <c r="J43" s="2">
        <v>0</v>
      </c>
      <c r="K43" s="6">
        <v>0.18</v>
      </c>
      <c r="L43" s="2">
        <v>1380</v>
      </c>
      <c r="M43" s="22">
        <f>(C43+H43)*E43*F43*G43*I43+J43+L43</f>
        <v>12880.592004</v>
      </c>
      <c r="N43" s="8">
        <f>((M43/1.21)-L43)*0.18</f>
        <v>1667.7211245619833</v>
      </c>
      <c r="O43" s="9">
        <v>0</v>
      </c>
      <c r="P43" s="8">
        <f>(1-O43)*C43*F43+D43+N43</f>
        <v>9487.7611245619828</v>
      </c>
      <c r="Q43" s="19">
        <f>(M43/1.21-P43)/(M43/1.21)</f>
        <v>0.10872179189008653</v>
      </c>
    </row>
    <row r="44" spans="2:17" ht="15.75" x14ac:dyDescent="0.25">
      <c r="B44" s="123"/>
      <c r="C44" s="12">
        <v>51.6</v>
      </c>
      <c r="D44" s="22">
        <v>5400</v>
      </c>
      <c r="E44" s="20">
        <v>1.61</v>
      </c>
      <c r="F44" s="2">
        <v>86</v>
      </c>
      <c r="G44" s="2">
        <v>1.23</v>
      </c>
      <c r="H44" s="20">
        <v>20</v>
      </c>
      <c r="I44" s="2">
        <v>1</v>
      </c>
      <c r="J44" s="2">
        <v>0</v>
      </c>
      <c r="K44" s="6">
        <v>0.18</v>
      </c>
      <c r="L44" s="2">
        <v>3410</v>
      </c>
      <c r="M44" s="22">
        <f>(C44+H44)*E44*F44*G44*I44+J44+L44</f>
        <v>15603.895279999999</v>
      </c>
      <c r="N44" s="8">
        <f>((M44/1.21)-L44)*0.18</f>
        <v>1707.4406201652891</v>
      </c>
      <c r="O44" s="9">
        <v>0</v>
      </c>
      <c r="P44" s="8">
        <f>(1-O44)*C44*F44+D44+N44</f>
        <v>11545.04062016529</v>
      </c>
      <c r="Q44" s="19">
        <f>(M44/1.21-P44)/(M44/1.21)</f>
        <v>0.10474282865092381</v>
      </c>
    </row>
    <row r="45" spans="2:17" ht="15.75" x14ac:dyDescent="0.25">
      <c r="B45" s="123"/>
      <c r="C45" s="14">
        <v>65.64</v>
      </c>
      <c r="D45" s="22">
        <v>5400</v>
      </c>
      <c r="E45" s="20">
        <v>1.56</v>
      </c>
      <c r="F45" s="2">
        <v>86</v>
      </c>
      <c r="G45" s="2">
        <v>1.23</v>
      </c>
      <c r="H45" s="20">
        <v>20</v>
      </c>
      <c r="I45" s="2">
        <v>1</v>
      </c>
      <c r="J45" s="2">
        <v>0</v>
      </c>
      <c r="K45" s="6">
        <v>0.18</v>
      </c>
      <c r="L45" s="2">
        <v>3410</v>
      </c>
      <c r="M45" s="22">
        <f>(C45+H45)*E45*F45*G45*I45+J45+L45</f>
        <v>17542.038752</v>
      </c>
      <c r="N45" s="8">
        <f>((M45/1.21)-L45)*0.18</f>
        <v>1995.7594837685951</v>
      </c>
      <c r="O45" s="9">
        <v>0</v>
      </c>
      <c r="P45" s="8">
        <f>(1-O45)*C45*F45+D45+N45</f>
        <v>13040.799483768596</v>
      </c>
      <c r="Q45" s="19">
        <f>(M45/1.21-P45)/(M45/1.21)</f>
        <v>0.10048269768182073</v>
      </c>
    </row>
    <row r="46" spans="2:17" ht="15.75" x14ac:dyDescent="0.25">
      <c r="B46" s="123"/>
      <c r="C46" s="16">
        <v>139.15</v>
      </c>
      <c r="D46" s="22">
        <v>5400</v>
      </c>
      <c r="E46" s="20">
        <v>1.47</v>
      </c>
      <c r="F46" s="2">
        <v>86</v>
      </c>
      <c r="G46" s="2">
        <v>1.23</v>
      </c>
      <c r="H46" s="20">
        <v>20</v>
      </c>
      <c r="I46" s="2">
        <v>1</v>
      </c>
      <c r="J46" s="2">
        <v>0</v>
      </c>
      <c r="K46" s="6">
        <v>0.18</v>
      </c>
      <c r="L46" s="2">
        <v>3410</v>
      </c>
      <c r="M46" s="22">
        <f>(C46+H46)*E46*F46*G46*I46+J46+L46</f>
        <v>28157.283890000002</v>
      </c>
      <c r="N46" s="8">
        <f>((M46/1.21)-L46)*0.18</f>
        <v>3574.8868596694219</v>
      </c>
      <c r="O46" s="9">
        <v>0</v>
      </c>
      <c r="P46" s="8">
        <f>(1-O46)*C46*F46+D46+N46</f>
        <v>20941.786859669424</v>
      </c>
      <c r="Q46" s="19">
        <f>(M46/1.21-P46)/(M46/1.21)</f>
        <v>0.10007079520907584</v>
      </c>
    </row>
    <row r="47" spans="2:17" x14ac:dyDescent="0.25">
      <c r="B47" s="123"/>
      <c r="Q47" s="18"/>
    </row>
    <row r="48" spans="2:17" x14ac:dyDescent="0.25">
      <c r="B48" s="123"/>
      <c r="Q48" s="18"/>
    </row>
    <row r="49" spans="2:17" ht="18.75" x14ac:dyDescent="0.3">
      <c r="B49" s="123"/>
      <c r="C49" s="134" t="s">
        <v>17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6"/>
    </row>
    <row r="50" spans="2:17" x14ac:dyDescent="0.25">
      <c r="B50" s="123"/>
      <c r="C50" s="1" t="s">
        <v>1</v>
      </c>
      <c r="D50" s="22" t="s">
        <v>2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9</v>
      </c>
      <c r="L50" s="2" t="s">
        <v>10</v>
      </c>
      <c r="M50" s="22" t="s">
        <v>11</v>
      </c>
      <c r="N50" s="2" t="s">
        <v>12</v>
      </c>
      <c r="O50" s="2" t="s">
        <v>13</v>
      </c>
      <c r="P50" s="2" t="s">
        <v>14</v>
      </c>
      <c r="Q50" s="3" t="s">
        <v>15</v>
      </c>
    </row>
    <row r="51" spans="2:17" ht="15.75" x14ac:dyDescent="0.25">
      <c r="B51" s="123"/>
      <c r="C51" s="4"/>
      <c r="D51" s="22"/>
      <c r="E51" s="2"/>
      <c r="F51" s="2">
        <v>86</v>
      </c>
      <c r="G51" s="2">
        <v>1.23</v>
      </c>
      <c r="H51" s="5">
        <v>40</v>
      </c>
      <c r="I51" s="2">
        <v>1</v>
      </c>
      <c r="J51" s="2">
        <v>0</v>
      </c>
      <c r="K51" s="6">
        <v>0.18</v>
      </c>
      <c r="L51" s="2">
        <v>1380</v>
      </c>
      <c r="M51" s="22">
        <f>(C51+H51)*E51*F51*G51*I51+J51+L51</f>
        <v>1380</v>
      </c>
      <c r="N51" s="8">
        <f>((M51/1.21)-L51)*0.18</f>
        <v>-43.110743801652902</v>
      </c>
      <c r="O51" s="9">
        <v>0</v>
      </c>
      <c r="P51" s="8">
        <f>(1-O51)*C51*F51+D51+N51</f>
        <v>-43.110743801652902</v>
      </c>
      <c r="Q51" s="19">
        <f>(M51/1.21-P51)/(M51/1.21)</f>
        <v>1.0378000000000001</v>
      </c>
    </row>
    <row r="52" spans="2:17" ht="15.75" x14ac:dyDescent="0.25">
      <c r="B52" s="123"/>
      <c r="C52" s="10"/>
      <c r="D52" s="22"/>
      <c r="E52" s="2"/>
      <c r="F52" s="2">
        <v>86</v>
      </c>
      <c r="G52" s="2">
        <v>1.23</v>
      </c>
      <c r="H52" s="11">
        <v>30</v>
      </c>
      <c r="I52" s="2">
        <v>1</v>
      </c>
      <c r="J52" s="2">
        <v>0</v>
      </c>
      <c r="K52" s="6">
        <v>0.18</v>
      </c>
      <c r="L52" s="2">
        <v>1380</v>
      </c>
      <c r="M52" s="22">
        <f>(C52+H52)*E52*F52*G52*I52+J52+L52</f>
        <v>1380</v>
      </c>
      <c r="N52" s="8">
        <f>((M52/1.21)-L52)*0.18</f>
        <v>-43.110743801652902</v>
      </c>
      <c r="O52" s="9">
        <v>0</v>
      </c>
      <c r="P52" s="8">
        <f>(1-O52)*C52*F52+D52+N52</f>
        <v>-43.110743801652902</v>
      </c>
      <c r="Q52" s="19">
        <f>(M52/1.21-P52)/(M52/1.21)</f>
        <v>1.0378000000000001</v>
      </c>
    </row>
    <row r="53" spans="2:17" ht="15.75" x14ac:dyDescent="0.25">
      <c r="B53" s="123"/>
      <c r="C53" s="12"/>
      <c r="D53" s="22"/>
      <c r="E53" s="2"/>
      <c r="F53" s="2">
        <v>86</v>
      </c>
      <c r="G53" s="2">
        <v>1.23</v>
      </c>
      <c r="H53" s="13">
        <v>20</v>
      </c>
      <c r="I53" s="2">
        <v>1</v>
      </c>
      <c r="J53" s="2">
        <v>0</v>
      </c>
      <c r="K53" s="6">
        <v>0.18</v>
      </c>
      <c r="L53" s="2">
        <v>3410</v>
      </c>
      <c r="M53" s="22">
        <f>(C53+H53)*E53*F53*G53*I53+J53+L53</f>
        <v>3410</v>
      </c>
      <c r="N53" s="8">
        <f>((M53/1.21)-L53)*0.18</f>
        <v>-106.52727272727267</v>
      </c>
      <c r="O53" s="9">
        <v>0</v>
      </c>
      <c r="P53" s="8">
        <f>(1-O53)*C53*F53+D53+N53</f>
        <v>-106.52727272727267</v>
      </c>
      <c r="Q53" s="19">
        <f>(M53/1.21-P53)/(M53/1.21)</f>
        <v>1.0378000000000001</v>
      </c>
    </row>
    <row r="54" spans="2:17" ht="15.75" x14ac:dyDescent="0.25">
      <c r="B54" s="123"/>
      <c r="C54" s="14"/>
      <c r="D54" s="22"/>
      <c r="E54" s="2"/>
      <c r="F54" s="2">
        <v>86</v>
      </c>
      <c r="G54" s="2">
        <v>1.23</v>
      </c>
      <c r="H54" s="15">
        <v>20</v>
      </c>
      <c r="I54" s="2">
        <v>1</v>
      </c>
      <c r="J54" s="2">
        <v>0</v>
      </c>
      <c r="K54" s="6">
        <v>0.18</v>
      </c>
      <c r="L54" s="2">
        <v>3410</v>
      </c>
      <c r="M54" s="22">
        <f>(C54+H54)*E54*F54*G54*I54+J54+L54</f>
        <v>3410</v>
      </c>
      <c r="N54" s="8">
        <f>((M54/1.21)-L54)*0.18</f>
        <v>-106.52727272727267</v>
      </c>
      <c r="O54" s="9">
        <v>0</v>
      </c>
      <c r="P54" s="8">
        <f>(1-O54)*C54*F54+D54+N54</f>
        <v>-106.52727272727267</v>
      </c>
      <c r="Q54" s="19">
        <f>(M54/1.21-P54)/(M54/1.21)</f>
        <v>1.0378000000000001</v>
      </c>
    </row>
    <row r="55" spans="2:17" ht="16.5" thickBot="1" x14ac:dyDescent="0.3">
      <c r="B55" s="124"/>
      <c r="C55" s="16"/>
      <c r="D55" s="22"/>
      <c r="E55" s="2"/>
      <c r="F55" s="2">
        <v>86</v>
      </c>
      <c r="G55" s="2">
        <v>1.23</v>
      </c>
      <c r="H55" s="17">
        <v>20</v>
      </c>
      <c r="I55" s="2">
        <v>1</v>
      </c>
      <c r="J55" s="2">
        <v>0</v>
      </c>
      <c r="K55" s="6">
        <v>0.18</v>
      </c>
      <c r="L55" s="2">
        <v>3410</v>
      </c>
      <c r="M55" s="22">
        <f>(C55+H55)*E55*F55*G55*I55+J55+L55</f>
        <v>3410</v>
      </c>
      <c r="N55" s="8">
        <f>((M55/1.21)-L55)*0.18</f>
        <v>-106.52727272727267</v>
      </c>
      <c r="O55" s="9">
        <v>0</v>
      </c>
      <c r="P55" s="8">
        <f>(1-O55)*C55*F55+D55+N55</f>
        <v>-106.52727272727267</v>
      </c>
      <c r="Q55" s="19">
        <f>(M55/1.21-P55)/(M55/1.21)</f>
        <v>1.0378000000000001</v>
      </c>
    </row>
    <row r="58" spans="2:17" ht="15.75" thickBot="1" x14ac:dyDescent="0.3"/>
    <row r="59" spans="2:17" ht="18.75" x14ac:dyDescent="0.3">
      <c r="B59" s="122" t="s">
        <v>20</v>
      </c>
      <c r="C59" s="131" t="s">
        <v>16</v>
      </c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3"/>
    </row>
    <row r="60" spans="2:17" x14ac:dyDescent="0.25">
      <c r="B60" s="123"/>
      <c r="C60" s="1" t="s">
        <v>1</v>
      </c>
      <c r="D60" s="22" t="s">
        <v>2</v>
      </c>
      <c r="E60" s="2" t="s">
        <v>3</v>
      </c>
      <c r="F60" s="2" t="s">
        <v>4</v>
      </c>
      <c r="G60" s="2" t="s">
        <v>5</v>
      </c>
      <c r="H60" s="2" t="s">
        <v>6</v>
      </c>
      <c r="I60" s="2" t="s">
        <v>7</v>
      </c>
      <c r="J60" s="2" t="s">
        <v>8</v>
      </c>
      <c r="K60" s="2" t="s">
        <v>9</v>
      </c>
      <c r="L60" s="2" t="s">
        <v>10</v>
      </c>
      <c r="M60" s="22" t="s">
        <v>11</v>
      </c>
      <c r="N60" s="2" t="s">
        <v>12</v>
      </c>
      <c r="O60" s="2" t="s">
        <v>13</v>
      </c>
      <c r="P60" s="2" t="s">
        <v>14</v>
      </c>
      <c r="Q60" s="3" t="s">
        <v>15</v>
      </c>
    </row>
    <row r="61" spans="2:17" ht="15.75" x14ac:dyDescent="0.25">
      <c r="B61" s="123"/>
      <c r="C61" s="4">
        <v>13.9</v>
      </c>
      <c r="D61" s="22">
        <v>5400</v>
      </c>
      <c r="E61" s="20">
        <v>1.66</v>
      </c>
      <c r="F61" s="20">
        <v>86</v>
      </c>
      <c r="G61" s="2">
        <v>1.23</v>
      </c>
      <c r="H61" s="20">
        <v>40</v>
      </c>
      <c r="I61" s="2">
        <v>1</v>
      </c>
      <c r="J61" s="2">
        <v>0</v>
      </c>
      <c r="K61" s="6">
        <v>0.18</v>
      </c>
      <c r="L61" s="2">
        <v>1380</v>
      </c>
      <c r="M61" s="22">
        <f>(C61+H61)*E61*F61*G61*I61+J61+L61</f>
        <v>10844.559719999999</v>
      </c>
      <c r="N61" s="8">
        <f>((M61/1.21)-L61)*0.18</f>
        <v>1364.8402889256199</v>
      </c>
      <c r="O61" s="9">
        <v>0</v>
      </c>
      <c r="P61" s="8">
        <f>(1-O61)*C61*F61+D61+N61</f>
        <v>7960.2402889256191</v>
      </c>
      <c r="Q61" s="19">
        <f>(M61/1.21-P61)/(M61/1.21)</f>
        <v>0.11182279425909243</v>
      </c>
    </row>
    <row r="62" spans="2:17" ht="15.75" x14ac:dyDescent="0.25">
      <c r="B62" s="123"/>
      <c r="C62" s="10">
        <v>70.900000000000006</v>
      </c>
      <c r="D62" s="22">
        <v>5400</v>
      </c>
      <c r="E62" s="20">
        <v>1.66</v>
      </c>
      <c r="F62" s="20">
        <v>86</v>
      </c>
      <c r="G62" s="2">
        <v>1.23</v>
      </c>
      <c r="H62" s="20">
        <v>30</v>
      </c>
      <c r="I62" s="2">
        <v>1</v>
      </c>
      <c r="J62" s="2">
        <v>0</v>
      </c>
      <c r="K62" s="6">
        <v>0.18</v>
      </c>
      <c r="L62" s="2">
        <v>1380</v>
      </c>
      <c r="M62" s="22">
        <f>(C62+H62)*E62*F62*G62*I62+J62+L62</f>
        <v>19097.515319999999</v>
      </c>
      <c r="N62" s="8">
        <f>((M62/1.21)-L62)*0.18</f>
        <v>2592.5526922314048</v>
      </c>
      <c r="O62" s="9">
        <v>0</v>
      </c>
      <c r="P62" s="8">
        <f>(1-O62)*C62*F62+D62+N62</f>
        <v>14089.952692231407</v>
      </c>
      <c r="Q62" s="19">
        <f>(M62/1.21-P62)/(M62/1.21)</f>
        <v>0.10727429867562456</v>
      </c>
    </row>
    <row r="63" spans="2:17" ht="15.75" x14ac:dyDescent="0.25">
      <c r="B63" s="123"/>
      <c r="C63" s="12">
        <v>132</v>
      </c>
      <c r="D63" s="22">
        <v>5400</v>
      </c>
      <c r="E63" s="20">
        <v>1.49</v>
      </c>
      <c r="F63" s="20">
        <v>86</v>
      </c>
      <c r="G63" s="2">
        <v>1.23</v>
      </c>
      <c r="H63" s="20">
        <v>20</v>
      </c>
      <c r="I63" s="2">
        <v>1</v>
      </c>
      <c r="J63" s="2">
        <v>0</v>
      </c>
      <c r="K63" s="6">
        <v>0.18</v>
      </c>
      <c r="L63" s="2">
        <v>3410</v>
      </c>
      <c r="M63" s="22">
        <f>(C63+H63)*E63*F63*G63*I63+J63+L63</f>
        <v>27367.054399999997</v>
      </c>
      <c r="N63" s="8">
        <f>((M63/1.21)-L63)*0.18</f>
        <v>3457.3320595041318</v>
      </c>
      <c r="O63" s="9">
        <v>0</v>
      </c>
      <c r="P63" s="8">
        <f>(1-O63)*C63*F63+D63+N63</f>
        <v>20209.332059504133</v>
      </c>
      <c r="Q63" s="19">
        <f>(M63/1.21-P63)/(M63/1.21)</f>
        <v>0.10646971959101299</v>
      </c>
    </row>
    <row r="64" spans="2:17" ht="15.75" x14ac:dyDescent="0.25">
      <c r="B64" s="123"/>
      <c r="C64" s="14">
        <v>272</v>
      </c>
      <c r="D64" s="22">
        <v>5400</v>
      </c>
      <c r="E64" s="20">
        <v>1.335</v>
      </c>
      <c r="F64" s="20">
        <v>86</v>
      </c>
      <c r="G64" s="2">
        <v>1.23</v>
      </c>
      <c r="H64" s="20">
        <v>20</v>
      </c>
      <c r="I64" s="2">
        <v>1</v>
      </c>
      <c r="J64" s="2">
        <v>0</v>
      </c>
      <c r="K64" s="6">
        <v>0.18</v>
      </c>
      <c r="L64" s="2">
        <v>5600</v>
      </c>
      <c r="M64" s="22">
        <f>(C64+H64)*E64*F64*G64*I64+J64+L64</f>
        <v>46835.159599999999</v>
      </c>
      <c r="N64" s="8">
        <f>((M64/1.21)-L64)*0.18</f>
        <v>5959.213824793389</v>
      </c>
      <c r="O64" s="9">
        <v>0</v>
      </c>
      <c r="P64" s="8">
        <f>(1-O64)*C64*F64+D64+N64</f>
        <v>34751.213824793391</v>
      </c>
      <c r="Q64" s="19">
        <f>(M64/1.21-P64)/(M64/1.21)</f>
        <v>0.10219226138817301</v>
      </c>
    </row>
    <row r="65" spans="2:17" ht="15.75" x14ac:dyDescent="0.25">
      <c r="B65" s="123"/>
      <c r="C65" s="16">
        <v>439</v>
      </c>
      <c r="D65" s="22">
        <v>5400</v>
      </c>
      <c r="E65" s="20">
        <v>1.27</v>
      </c>
      <c r="F65" s="20">
        <v>86</v>
      </c>
      <c r="G65" s="2">
        <v>1.23</v>
      </c>
      <c r="H65" s="20">
        <v>20</v>
      </c>
      <c r="I65" s="2">
        <v>1</v>
      </c>
      <c r="J65" s="2">
        <v>0</v>
      </c>
      <c r="K65" s="6">
        <v>0.18</v>
      </c>
      <c r="L65" s="2">
        <v>8270</v>
      </c>
      <c r="M65" s="22">
        <f>(C65+H65)*E65*F65*G65*I65+J65+L65</f>
        <v>69932.335400000011</v>
      </c>
      <c r="N65" s="8">
        <f>((M65/1.21)-L65)*0.18</f>
        <v>8914.5573322314067</v>
      </c>
      <c r="O65" s="9">
        <v>0</v>
      </c>
      <c r="P65" s="8">
        <f>(1-O65)*C65*F65+D65+N65</f>
        <v>52068.557332231409</v>
      </c>
      <c r="Q65" s="19">
        <f>(M65/1.21-P65)/(M65/1.21)</f>
        <v>9.9086938658136212E-2</v>
      </c>
    </row>
    <row r="66" spans="2:17" x14ac:dyDescent="0.25">
      <c r="B66" s="123"/>
      <c r="Q66" s="18"/>
    </row>
    <row r="67" spans="2:17" x14ac:dyDescent="0.25">
      <c r="B67" s="123"/>
      <c r="Q67" s="18"/>
    </row>
    <row r="68" spans="2:17" ht="18.75" x14ac:dyDescent="0.3">
      <c r="B68" s="123"/>
      <c r="C68" s="134" t="s">
        <v>17</v>
      </c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6"/>
    </row>
    <row r="69" spans="2:17" x14ac:dyDescent="0.25">
      <c r="B69" s="123"/>
      <c r="C69" s="1" t="s">
        <v>1</v>
      </c>
      <c r="D69" s="22" t="s">
        <v>2</v>
      </c>
      <c r="E69" s="2" t="s">
        <v>3</v>
      </c>
      <c r="F69" s="2" t="s">
        <v>4</v>
      </c>
      <c r="G69" s="2" t="s">
        <v>5</v>
      </c>
      <c r="H69" s="2" t="s">
        <v>6</v>
      </c>
      <c r="I69" s="2" t="s">
        <v>7</v>
      </c>
      <c r="J69" s="2" t="s">
        <v>8</v>
      </c>
      <c r="K69" s="2" t="s">
        <v>9</v>
      </c>
      <c r="L69" s="2" t="s">
        <v>10</v>
      </c>
      <c r="M69" s="22" t="s">
        <v>11</v>
      </c>
      <c r="N69" s="2" t="s">
        <v>12</v>
      </c>
      <c r="O69" s="2" t="s">
        <v>13</v>
      </c>
      <c r="P69" s="2" t="s">
        <v>14</v>
      </c>
      <c r="Q69" s="3" t="s">
        <v>15</v>
      </c>
    </row>
    <row r="70" spans="2:17" ht="15.75" x14ac:dyDescent="0.25">
      <c r="B70" s="123"/>
      <c r="C70" s="4"/>
      <c r="D70" s="22"/>
      <c r="E70" s="2"/>
      <c r="F70" s="2">
        <v>86</v>
      </c>
      <c r="G70" s="2">
        <v>1.23</v>
      </c>
      <c r="H70" s="5">
        <v>40</v>
      </c>
      <c r="I70" s="2">
        <v>1</v>
      </c>
      <c r="J70" s="2">
        <v>0</v>
      </c>
      <c r="K70" s="6">
        <v>0.18</v>
      </c>
      <c r="L70" s="2">
        <v>1380</v>
      </c>
      <c r="M70" s="22">
        <f>(C70+H70)*E70*F70*G70*I70+J70+L70</f>
        <v>1380</v>
      </c>
      <c r="N70" s="8">
        <f>((M70/1.21)-L70)*0.18</f>
        <v>-43.110743801652902</v>
      </c>
      <c r="O70" s="9">
        <v>0</v>
      </c>
      <c r="P70" s="8">
        <f>(1-O70)*C70*F70+D70+N70</f>
        <v>-43.110743801652902</v>
      </c>
      <c r="Q70" s="19">
        <f>(M70/1.21-P70)/(M70/1.21)</f>
        <v>1.0378000000000001</v>
      </c>
    </row>
    <row r="71" spans="2:17" ht="15.75" x14ac:dyDescent="0.25">
      <c r="B71" s="123"/>
      <c r="C71" s="10"/>
      <c r="D71" s="22"/>
      <c r="E71" s="2"/>
      <c r="F71" s="2">
        <v>86</v>
      </c>
      <c r="G71" s="2">
        <v>1.23</v>
      </c>
      <c r="H71" s="11">
        <v>30</v>
      </c>
      <c r="I71" s="2">
        <v>1</v>
      </c>
      <c r="J71" s="2">
        <v>0</v>
      </c>
      <c r="K71" s="6">
        <v>0.18</v>
      </c>
      <c r="L71" s="2">
        <v>1380</v>
      </c>
      <c r="M71" s="22">
        <f>(C71+H71)*E71*F71*G71*I71+J71+L71</f>
        <v>1380</v>
      </c>
      <c r="N71" s="8">
        <f>((M71/1.21)-L71)*0.18</f>
        <v>-43.110743801652902</v>
      </c>
      <c r="O71" s="9">
        <v>0</v>
      </c>
      <c r="P71" s="8">
        <f>(1-O71)*C71*F71+D71+N71</f>
        <v>-43.110743801652902</v>
      </c>
      <c r="Q71" s="19">
        <f>(M71/1.21-P71)/(M71/1.21)</f>
        <v>1.0378000000000001</v>
      </c>
    </row>
    <row r="72" spans="2:17" ht="15.75" x14ac:dyDescent="0.25">
      <c r="B72" s="123"/>
      <c r="C72" s="12"/>
      <c r="D72" s="22"/>
      <c r="E72" s="2"/>
      <c r="F72" s="2">
        <v>86</v>
      </c>
      <c r="G72" s="2">
        <v>1.23</v>
      </c>
      <c r="H72" s="13">
        <v>20</v>
      </c>
      <c r="I72" s="2">
        <v>1</v>
      </c>
      <c r="J72" s="2">
        <v>0</v>
      </c>
      <c r="K72" s="6">
        <v>0.18</v>
      </c>
      <c r="L72" s="2">
        <v>3410</v>
      </c>
      <c r="M72" s="22">
        <f>(C72+H72)*E72*F72*G72*I72+J72+L72</f>
        <v>3410</v>
      </c>
      <c r="N72" s="8">
        <f>((M72/1.21)-L72)*0.18</f>
        <v>-106.52727272727267</v>
      </c>
      <c r="O72" s="9">
        <v>0</v>
      </c>
      <c r="P72" s="8">
        <f>(1-O72)*C72*F72+D72+N72</f>
        <v>-106.52727272727267</v>
      </c>
      <c r="Q72" s="19">
        <f>(M72/1.21-P72)/(M72/1.21)</f>
        <v>1.0378000000000001</v>
      </c>
    </row>
    <row r="73" spans="2:17" ht="15.75" x14ac:dyDescent="0.25">
      <c r="B73" s="123"/>
      <c r="C73" s="14"/>
      <c r="D73" s="22"/>
      <c r="E73" s="2"/>
      <c r="F73" s="2">
        <v>86</v>
      </c>
      <c r="G73" s="2">
        <v>1.23</v>
      </c>
      <c r="H73" s="15">
        <v>20</v>
      </c>
      <c r="I73" s="2">
        <v>1</v>
      </c>
      <c r="J73" s="2">
        <v>0</v>
      </c>
      <c r="K73" s="6">
        <v>0.18</v>
      </c>
      <c r="L73" s="2">
        <v>5600</v>
      </c>
      <c r="M73" s="22">
        <f>(C73+H73)*E73*F73*G73*I73+J73+L73</f>
        <v>5600</v>
      </c>
      <c r="N73" s="8">
        <f>((M73/1.21)-L73)*0.18</f>
        <v>-174.94214876033055</v>
      </c>
      <c r="O73" s="9">
        <v>0</v>
      </c>
      <c r="P73" s="8">
        <f>(1-O73)*C73*F73+D73+N73</f>
        <v>-174.94214876033055</v>
      </c>
      <c r="Q73" s="19">
        <f>(M73/1.21-P73)/(M73/1.21)</f>
        <v>1.0378000000000001</v>
      </c>
    </row>
    <row r="74" spans="2:17" ht="16.5" thickBot="1" x14ac:dyDescent="0.3">
      <c r="B74" s="124"/>
      <c r="C74" s="16"/>
      <c r="D74" s="22"/>
      <c r="E74" s="2"/>
      <c r="F74" s="2">
        <v>86</v>
      </c>
      <c r="G74" s="2">
        <v>1.23</v>
      </c>
      <c r="H74" s="17">
        <v>20</v>
      </c>
      <c r="I74" s="2">
        <v>1</v>
      </c>
      <c r="J74" s="2">
        <v>0</v>
      </c>
      <c r="K74" s="6">
        <v>0.18</v>
      </c>
      <c r="L74" s="2">
        <v>8270</v>
      </c>
      <c r="M74" s="22">
        <f>(C74+H74)*E74*F74*G74*I74+J74+L74</f>
        <v>8270</v>
      </c>
      <c r="N74" s="8">
        <f>((M74/1.21)-L74)*0.18</f>
        <v>-258.35206611570248</v>
      </c>
      <c r="O74" s="9">
        <v>0</v>
      </c>
      <c r="P74" s="8">
        <f>(1-O74)*C74*F74+D74+N74</f>
        <v>-258.35206611570248</v>
      </c>
      <c r="Q74" s="19">
        <f>(M74/1.21-P74)/(M74/1.21)</f>
        <v>1.0378000000000001</v>
      </c>
    </row>
    <row r="76" spans="2:17" ht="15.75" thickBot="1" x14ac:dyDescent="0.3"/>
    <row r="77" spans="2:17" ht="18.75" x14ac:dyDescent="0.3">
      <c r="B77" s="122" t="s">
        <v>18</v>
      </c>
      <c r="C77" s="131" t="s">
        <v>16</v>
      </c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3"/>
    </row>
    <row r="78" spans="2:17" x14ac:dyDescent="0.25">
      <c r="B78" s="123"/>
      <c r="C78" s="1" t="s">
        <v>19</v>
      </c>
      <c r="D78" s="22" t="s">
        <v>2</v>
      </c>
      <c r="E78" s="2" t="s">
        <v>3</v>
      </c>
      <c r="F78" s="2" t="s">
        <v>4</v>
      </c>
      <c r="G78" s="2" t="s">
        <v>5</v>
      </c>
      <c r="H78" s="2" t="s">
        <v>6</v>
      </c>
      <c r="I78" s="2" t="s">
        <v>7</v>
      </c>
      <c r="J78" s="2" t="s">
        <v>8</v>
      </c>
      <c r="K78" s="2" t="s">
        <v>9</v>
      </c>
      <c r="L78" s="2" t="s">
        <v>10</v>
      </c>
      <c r="M78" s="22" t="s">
        <v>11</v>
      </c>
      <c r="N78" s="2" t="s">
        <v>12</v>
      </c>
      <c r="O78" s="2" t="s">
        <v>13</v>
      </c>
      <c r="P78" s="2" t="s">
        <v>14</v>
      </c>
      <c r="Q78" s="3" t="s">
        <v>15</v>
      </c>
    </row>
    <row r="79" spans="2:17" ht="15.75" x14ac:dyDescent="0.25">
      <c r="B79" s="123"/>
      <c r="C79" s="4"/>
      <c r="D79" s="22"/>
      <c r="E79" s="2"/>
      <c r="F79" s="2">
        <v>95</v>
      </c>
      <c r="G79" s="2">
        <v>1</v>
      </c>
      <c r="H79" s="2"/>
      <c r="I79" s="2">
        <v>1</v>
      </c>
      <c r="J79" s="2">
        <v>0</v>
      </c>
      <c r="K79" s="6">
        <v>0.18</v>
      </c>
      <c r="L79" s="2"/>
      <c r="M79" s="22">
        <f>(C79+H79)*E79*F79*G79*I79+J79+L79</f>
        <v>0</v>
      </c>
      <c r="N79" s="8">
        <f>((M79/1.21)-L79)*0.18</f>
        <v>0</v>
      </c>
      <c r="O79" s="9">
        <v>0.04</v>
      </c>
      <c r="P79" s="8">
        <f>(((1-O79)*C79)/1.23)*F79+D79+N79</f>
        <v>0</v>
      </c>
      <c r="Q79" s="19" t="e">
        <f>(M79/1.21-P79)/(M79/1.21)</f>
        <v>#DIV/0!</v>
      </c>
    </row>
    <row r="80" spans="2:17" ht="15.75" x14ac:dyDescent="0.25">
      <c r="B80" s="123"/>
      <c r="C80" s="10"/>
      <c r="D80" s="22"/>
      <c r="E80" s="2"/>
      <c r="F80" s="2">
        <v>95</v>
      </c>
      <c r="G80" s="2">
        <v>1</v>
      </c>
      <c r="H80" s="2"/>
      <c r="I80" s="2">
        <v>1</v>
      </c>
      <c r="J80" s="2">
        <v>0</v>
      </c>
      <c r="K80" s="6">
        <v>0.18</v>
      </c>
      <c r="L80" s="2"/>
      <c r="M80" s="22">
        <f>(C80+H80)*E80*F80*G80*I80+J80+L80</f>
        <v>0</v>
      </c>
      <c r="N80" s="8">
        <f>((M80/1.21)-L80)*0.18</f>
        <v>0</v>
      </c>
      <c r="O80" s="9">
        <v>0.04</v>
      </c>
      <c r="P80" s="8">
        <f>(((1-O80)*C80)/1.23)*F80+D80+N80</f>
        <v>0</v>
      </c>
      <c r="Q80" s="19" t="e">
        <f>(M80/1.21-P80)/(M80/1.21)</f>
        <v>#DIV/0!</v>
      </c>
    </row>
    <row r="81" spans="2:17" ht="15.75" x14ac:dyDescent="0.25">
      <c r="B81" s="123"/>
      <c r="C81" s="12"/>
      <c r="D81" s="22"/>
      <c r="E81" s="2"/>
      <c r="F81" s="2">
        <v>95</v>
      </c>
      <c r="G81" s="2">
        <v>1</v>
      </c>
      <c r="H81" s="2"/>
      <c r="I81" s="2">
        <v>1</v>
      </c>
      <c r="J81" s="2">
        <v>0</v>
      </c>
      <c r="K81" s="6">
        <v>0.18</v>
      </c>
      <c r="L81" s="2"/>
      <c r="M81" s="22">
        <f>(C81+H81)*E81*F81*G81*I81+J81+L81</f>
        <v>0</v>
      </c>
      <c r="N81" s="8">
        <f>((M81/1.21)-L81)*0.18</f>
        <v>0</v>
      </c>
      <c r="O81" s="9">
        <v>0.04</v>
      </c>
      <c r="P81" s="8">
        <f>(((1-O81)*C81)/1.23)*F81+D81+N81</f>
        <v>0</v>
      </c>
      <c r="Q81" s="19" t="e">
        <f>(M81/1.21-P81)/(M81/1.21)</f>
        <v>#DIV/0!</v>
      </c>
    </row>
    <row r="82" spans="2:17" ht="15.75" x14ac:dyDescent="0.25">
      <c r="B82" s="123"/>
      <c r="C82" s="14"/>
      <c r="D82" s="22"/>
      <c r="E82" s="2"/>
      <c r="F82" s="2">
        <v>95</v>
      </c>
      <c r="G82" s="2">
        <v>1</v>
      </c>
      <c r="H82" s="2"/>
      <c r="I82" s="2">
        <v>1</v>
      </c>
      <c r="J82" s="2">
        <v>0</v>
      </c>
      <c r="K82" s="6">
        <v>0.18</v>
      </c>
      <c r="L82" s="2"/>
      <c r="M82" s="22">
        <f>(C82+H82)*E82*F82*G82*I82+J82+L82</f>
        <v>0</v>
      </c>
      <c r="N82" s="8">
        <f>((M82/1.21)-L82)*0.18</f>
        <v>0</v>
      </c>
      <c r="O82" s="9">
        <v>0.04</v>
      </c>
      <c r="P82" s="8">
        <f>(((1-O82)*C82)/1.23)*F82+D82+N82</f>
        <v>0</v>
      </c>
      <c r="Q82" s="19" t="e">
        <f>(M82/1.21-P82)/(M82/1.21)</f>
        <v>#DIV/0!</v>
      </c>
    </row>
    <row r="83" spans="2:17" ht="15.75" x14ac:dyDescent="0.25">
      <c r="B83" s="123"/>
      <c r="C83" s="16"/>
      <c r="D83" s="22"/>
      <c r="E83" s="2"/>
      <c r="F83" s="2">
        <v>95</v>
      </c>
      <c r="G83" s="2">
        <v>1</v>
      </c>
      <c r="H83" s="2"/>
      <c r="I83" s="2">
        <v>1</v>
      </c>
      <c r="J83" s="2">
        <v>0</v>
      </c>
      <c r="K83" s="6">
        <v>0.18</v>
      </c>
      <c r="L83" s="2"/>
      <c r="M83" s="22">
        <f>(C83+H83)*E83*F83*G83*I83+J83+L83</f>
        <v>0</v>
      </c>
      <c r="N83" s="8">
        <f>((M83/1.21)-L83)*0.18</f>
        <v>0</v>
      </c>
      <c r="O83" s="9">
        <v>0.04</v>
      </c>
      <c r="P83" s="8">
        <f>(((1-O83)*C83)/1.23)*F83+D83+N83</f>
        <v>0</v>
      </c>
      <c r="Q83" s="19" t="e">
        <f>(M83/1.21-P83)/(M83/1.21)</f>
        <v>#DIV/0!</v>
      </c>
    </row>
    <row r="84" spans="2:17" x14ac:dyDescent="0.25">
      <c r="B84" s="123"/>
      <c r="Q84" s="18"/>
    </row>
    <row r="85" spans="2:17" x14ac:dyDescent="0.25">
      <c r="B85" s="123"/>
      <c r="Q85" s="18"/>
    </row>
    <row r="86" spans="2:17" ht="18.75" x14ac:dyDescent="0.3">
      <c r="B86" s="123"/>
      <c r="C86" s="134" t="s">
        <v>17</v>
      </c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6"/>
    </row>
    <row r="87" spans="2:17" x14ac:dyDescent="0.25">
      <c r="B87" s="123"/>
      <c r="C87" s="1" t="s">
        <v>19</v>
      </c>
      <c r="D87" s="22" t="s">
        <v>2</v>
      </c>
      <c r="E87" s="2" t="s">
        <v>3</v>
      </c>
      <c r="F87" s="2" t="s">
        <v>4</v>
      </c>
      <c r="G87" s="2" t="s">
        <v>5</v>
      </c>
      <c r="H87" s="2" t="s">
        <v>6</v>
      </c>
      <c r="I87" s="2" t="s">
        <v>7</v>
      </c>
      <c r="J87" s="2" t="s">
        <v>8</v>
      </c>
      <c r="K87" s="2" t="s">
        <v>9</v>
      </c>
      <c r="L87" s="2" t="s">
        <v>10</v>
      </c>
      <c r="M87" s="22" t="s">
        <v>11</v>
      </c>
      <c r="N87" s="2" t="s">
        <v>12</v>
      </c>
      <c r="O87" s="2" t="s">
        <v>13</v>
      </c>
      <c r="P87" s="2" t="s">
        <v>14</v>
      </c>
      <c r="Q87" s="3" t="s">
        <v>15</v>
      </c>
    </row>
    <row r="88" spans="2:17" ht="15.75" x14ac:dyDescent="0.25">
      <c r="B88" s="123"/>
      <c r="C88" s="4">
        <v>11.01</v>
      </c>
      <c r="D88" s="22">
        <v>5400</v>
      </c>
      <c r="E88" s="20">
        <v>1.92</v>
      </c>
      <c r="F88" s="2">
        <v>95</v>
      </c>
      <c r="G88" s="2">
        <v>1</v>
      </c>
      <c r="H88" s="20">
        <v>40</v>
      </c>
      <c r="I88" s="2">
        <v>1</v>
      </c>
      <c r="J88" s="2">
        <v>0</v>
      </c>
      <c r="K88" s="6">
        <v>0.18</v>
      </c>
      <c r="L88" s="2">
        <v>1380</v>
      </c>
      <c r="M88" s="22">
        <f>(C88+H88)*E88*F88*G88*I88+J88+L88</f>
        <v>10684.224</v>
      </c>
      <c r="N88" s="8">
        <f>((M88/1.21)-L88)*0.18</f>
        <v>1340.988694214876</v>
      </c>
      <c r="O88" s="9">
        <v>0.04</v>
      </c>
      <c r="P88" s="8">
        <f>(((1-O88)*C88)/1.23)*F88+D88+N88</f>
        <v>7557.3399137270708</v>
      </c>
      <c r="Q88" s="19">
        <f>(M88/1.27-P88)/(M88/1.27)</f>
        <v>0.10168284655643878</v>
      </c>
    </row>
    <row r="89" spans="2:17" ht="15.75" x14ac:dyDescent="0.25">
      <c r="B89" s="123"/>
      <c r="C89" s="10">
        <v>57.81</v>
      </c>
      <c r="D89" s="22">
        <v>5400</v>
      </c>
      <c r="E89" s="20">
        <v>1.37</v>
      </c>
      <c r="F89" s="2">
        <v>95</v>
      </c>
      <c r="G89" s="2">
        <v>1</v>
      </c>
      <c r="H89" s="20">
        <v>40</v>
      </c>
      <c r="I89" s="2">
        <v>1</v>
      </c>
      <c r="J89" s="2">
        <v>0</v>
      </c>
      <c r="K89" s="6">
        <v>0.18</v>
      </c>
      <c r="L89" s="2">
        <v>3410</v>
      </c>
      <c r="M89" s="22">
        <f>(C89+H89)*E89*F89*G89*I89+J89+L89</f>
        <v>16139.971500000001</v>
      </c>
      <c r="N89" s="8">
        <f>((M89/1.21)-L89)*0.18</f>
        <v>1787.187495867769</v>
      </c>
      <c r="O89" s="9">
        <v>0.04</v>
      </c>
      <c r="P89" s="8">
        <f>(((1-O89)*C89)/1.23)*F89+D89+N89</f>
        <v>11473.587495867769</v>
      </c>
      <c r="Q89" s="19">
        <f>(M89/1.27-P89)/(M89/1.27)</f>
        <v>9.7182041507813968E-2</v>
      </c>
    </row>
    <row r="90" spans="2:17" ht="15.75" x14ac:dyDescent="0.25">
      <c r="B90" s="123"/>
      <c r="C90" s="12">
        <v>116.42</v>
      </c>
      <c r="D90" s="22">
        <v>5400</v>
      </c>
      <c r="E90" s="20">
        <v>1.37</v>
      </c>
      <c r="F90" s="2">
        <v>95</v>
      </c>
      <c r="G90" s="2">
        <v>1</v>
      </c>
      <c r="H90" s="20">
        <v>40</v>
      </c>
      <c r="I90" s="2">
        <v>1</v>
      </c>
      <c r="J90" s="2">
        <v>0</v>
      </c>
      <c r="K90" s="6">
        <v>0.18</v>
      </c>
      <c r="L90" s="2">
        <v>3410</v>
      </c>
      <c r="M90" s="22">
        <f>(C90+H90)*E90*F90*G90*I90+J90+L90</f>
        <v>23768.063000000002</v>
      </c>
      <c r="N90" s="8">
        <f>((M90/1.21)-L90)*0.18</f>
        <v>2921.9449090909093</v>
      </c>
      <c r="O90" s="9">
        <v>0.04</v>
      </c>
      <c r="P90" s="8">
        <f>(((1-O90)*C90)/1.23)*F90+D90+N90</f>
        <v>16954.061982261643</v>
      </c>
      <c r="Q90" s="19">
        <f>(M90/1.27-P90)/(M90/1.27)</f>
        <v>9.4092828789948763E-2</v>
      </c>
    </row>
    <row r="91" spans="2:17" ht="15.75" x14ac:dyDescent="0.25">
      <c r="B91" s="123"/>
      <c r="C91" s="14">
        <v>233.64</v>
      </c>
      <c r="D91" s="22">
        <v>5400</v>
      </c>
      <c r="E91" s="20">
        <v>1.37</v>
      </c>
      <c r="F91" s="2">
        <v>95</v>
      </c>
      <c r="G91" s="2">
        <v>1</v>
      </c>
      <c r="H91" s="20">
        <v>40</v>
      </c>
      <c r="I91" s="2">
        <v>1</v>
      </c>
      <c r="J91" s="2">
        <v>0</v>
      </c>
      <c r="K91" s="6">
        <v>0.18</v>
      </c>
      <c r="L91" s="2">
        <v>3410</v>
      </c>
      <c r="M91" s="22">
        <f>(C91+H91)*E91*F91*G91*I91+J91+L91</f>
        <v>39024.245999999999</v>
      </c>
      <c r="N91" s="8">
        <f>((M91/1.21)-L91)*0.18</f>
        <v>5191.4597355371907</v>
      </c>
      <c r="O91" s="9">
        <v>0.04</v>
      </c>
      <c r="P91" s="8">
        <f>(((1-O91)*C91)/1.23)*F91+D91+N91</f>
        <v>27915.010955049383</v>
      </c>
      <c r="Q91" s="19">
        <f>(M91/1.27-P91)/(M91/1.27)</f>
        <v>9.153750432711201E-2</v>
      </c>
    </row>
    <row r="92" spans="2:17" ht="16.5" thickBot="1" x14ac:dyDescent="0.3">
      <c r="B92" s="124"/>
      <c r="C92" s="16">
        <v>531.83000000000004</v>
      </c>
      <c r="D92" s="22">
        <v>5400</v>
      </c>
      <c r="E92" s="20">
        <v>1.3</v>
      </c>
      <c r="F92" s="2">
        <v>95</v>
      </c>
      <c r="G92" s="2">
        <v>1</v>
      </c>
      <c r="H92" s="20">
        <v>20</v>
      </c>
      <c r="I92" s="2">
        <v>1</v>
      </c>
      <c r="J92" s="2">
        <v>0</v>
      </c>
      <c r="K92" s="6">
        <v>0.18</v>
      </c>
      <c r="L92" s="2">
        <v>8270</v>
      </c>
      <c r="M92" s="22">
        <f>(C92+H92)*E92*F92*G92*I92+J92+L92</f>
        <v>76421.005000000019</v>
      </c>
      <c r="N92" s="8">
        <f>((M92/1.21)-L92)*0.18</f>
        <v>9879.8139669421507</v>
      </c>
      <c r="O92" s="9">
        <v>0.04</v>
      </c>
      <c r="P92" s="8">
        <f>(((1-O92)*C92)/1.23)*F92+D92+N92</f>
        <v>54713.062747429962</v>
      </c>
      <c r="Q92" s="19">
        <f>(M92/1.27-P92)/(M92/1.27)</f>
        <v>9.0752736250510765E-2</v>
      </c>
    </row>
    <row r="94" spans="2:17" ht="15.75" thickBot="1" x14ac:dyDescent="0.3"/>
    <row r="95" spans="2:17" ht="18.75" x14ac:dyDescent="0.3">
      <c r="B95" s="122" t="s">
        <v>25</v>
      </c>
      <c r="C95" s="131" t="s">
        <v>16</v>
      </c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3"/>
    </row>
    <row r="96" spans="2:17" x14ac:dyDescent="0.25">
      <c r="B96" s="123"/>
      <c r="C96" s="1" t="s">
        <v>19</v>
      </c>
      <c r="D96" s="22" t="s">
        <v>2</v>
      </c>
      <c r="E96" s="2" t="s">
        <v>3</v>
      </c>
      <c r="F96" s="2" t="s">
        <v>4</v>
      </c>
      <c r="G96" s="2" t="s">
        <v>5</v>
      </c>
      <c r="H96" s="2" t="s">
        <v>6</v>
      </c>
      <c r="I96" s="2" t="s">
        <v>7</v>
      </c>
      <c r="J96" s="2" t="s">
        <v>8</v>
      </c>
      <c r="K96" s="2" t="s">
        <v>9</v>
      </c>
      <c r="L96" s="2" t="s">
        <v>10</v>
      </c>
      <c r="M96" s="22" t="s">
        <v>11</v>
      </c>
      <c r="N96" s="2" t="s">
        <v>12</v>
      </c>
      <c r="O96" s="2" t="s">
        <v>13</v>
      </c>
      <c r="P96" s="2" t="s">
        <v>14</v>
      </c>
      <c r="Q96" s="3" t="s">
        <v>15</v>
      </c>
    </row>
    <row r="97" spans="2:17" ht="15.75" x14ac:dyDescent="0.25">
      <c r="B97" s="123"/>
      <c r="C97" s="4"/>
      <c r="D97" s="22"/>
      <c r="E97" s="2"/>
      <c r="F97" s="2">
        <v>5.35</v>
      </c>
      <c r="G97" s="2">
        <v>1</v>
      </c>
      <c r="H97" s="2"/>
      <c r="I97" s="2">
        <v>1</v>
      </c>
      <c r="J97" s="2">
        <v>0</v>
      </c>
      <c r="K97" s="6">
        <v>0.18</v>
      </c>
      <c r="L97" s="2">
        <v>0</v>
      </c>
      <c r="M97" s="22">
        <f>(C97+H97)*E97*F97*G97*I97+J97+L97</f>
        <v>0</v>
      </c>
      <c r="N97" s="8">
        <f>((M97/1.21)-L97)*0.18</f>
        <v>0</v>
      </c>
      <c r="O97" s="9">
        <v>0.25</v>
      </c>
      <c r="P97" s="8">
        <f>(((1-O97)*C97)/1.23)*F97+D97+N97</f>
        <v>0</v>
      </c>
      <c r="Q97" s="19" t="e">
        <f>(M97/1.21-P97)/(M97/1.21)</f>
        <v>#DIV/0!</v>
      </c>
    </row>
    <row r="98" spans="2:17" ht="15.75" x14ac:dyDescent="0.25">
      <c r="B98" s="123"/>
      <c r="C98" s="10"/>
      <c r="D98" s="22"/>
      <c r="E98" s="2"/>
      <c r="F98" s="2">
        <v>5.35</v>
      </c>
      <c r="G98" s="2">
        <v>1</v>
      </c>
      <c r="H98" s="2"/>
      <c r="I98" s="2">
        <v>1</v>
      </c>
      <c r="J98" s="2">
        <v>0</v>
      </c>
      <c r="K98" s="6">
        <v>0.18</v>
      </c>
      <c r="L98" s="2">
        <v>0</v>
      </c>
      <c r="M98" s="22">
        <f>(C98+H98)*E98*F98*G98*I98+J98+L98</f>
        <v>0</v>
      </c>
      <c r="N98" s="8">
        <f>((M98/1.21)-L98)*0.18</f>
        <v>0</v>
      </c>
      <c r="O98" s="9">
        <v>0.25</v>
      </c>
      <c r="P98" s="8">
        <f>(((1-O98)*C98)/1.23)*F98+D98+N98</f>
        <v>0</v>
      </c>
      <c r="Q98" s="19" t="e">
        <f>(M98/1.21-P98)/(M98/1.21)</f>
        <v>#DIV/0!</v>
      </c>
    </row>
    <row r="99" spans="2:17" ht="15.75" x14ac:dyDescent="0.25">
      <c r="B99" s="123"/>
      <c r="C99" s="12"/>
      <c r="D99" s="22"/>
      <c r="E99" s="2"/>
      <c r="F99" s="2">
        <v>5.35</v>
      </c>
      <c r="G99" s="2">
        <v>1</v>
      </c>
      <c r="H99" s="2"/>
      <c r="I99" s="2">
        <v>1</v>
      </c>
      <c r="J99" s="2">
        <v>0</v>
      </c>
      <c r="K99" s="6">
        <v>0.18</v>
      </c>
      <c r="L99" s="2">
        <v>150</v>
      </c>
      <c r="M99" s="22">
        <f>(C99+H99)*E99*F99*G99*I99+J99+L99</f>
        <v>150</v>
      </c>
      <c r="N99" s="8">
        <f>((M99/1.21)-L99)*0.18</f>
        <v>-4.6859504132231384</v>
      </c>
      <c r="O99" s="9">
        <v>0.25</v>
      </c>
      <c r="P99" s="8">
        <f>(((1-O99)*C99)/1.23)*F99+D99+N99</f>
        <v>-4.6859504132231384</v>
      </c>
      <c r="Q99" s="19">
        <f>(M99/1.21-P99)/(M99/1.21)</f>
        <v>1.0377999999999998</v>
      </c>
    </row>
    <row r="100" spans="2:17" ht="15.75" x14ac:dyDescent="0.25">
      <c r="B100" s="123"/>
      <c r="C100" s="14"/>
      <c r="D100" s="22"/>
      <c r="E100" s="2"/>
      <c r="F100" s="2">
        <v>5.35</v>
      </c>
      <c r="G100" s="2">
        <v>1</v>
      </c>
      <c r="H100" s="2"/>
      <c r="I100" s="2">
        <v>1</v>
      </c>
      <c r="J100" s="2">
        <v>0</v>
      </c>
      <c r="K100" s="6">
        <v>0.18</v>
      </c>
      <c r="L100" s="2">
        <v>150</v>
      </c>
      <c r="M100" s="22">
        <f>(C100+H100)*E100*F100*G100*I100+J100+L100</f>
        <v>150</v>
      </c>
      <c r="N100" s="8">
        <f>((M100/1.21)-L100)*0.18</f>
        <v>-4.6859504132231384</v>
      </c>
      <c r="O100" s="9">
        <v>0.25</v>
      </c>
      <c r="P100" s="8">
        <f>(((1-O100)*C100)/1.23)*F100+D100+N100</f>
        <v>-4.6859504132231384</v>
      </c>
      <c r="Q100" s="19">
        <f>(M100/1.21-P100)/(M100/1.21)</f>
        <v>1.0377999999999998</v>
      </c>
    </row>
    <row r="101" spans="2:17" ht="15.75" x14ac:dyDescent="0.25">
      <c r="B101" s="123"/>
      <c r="C101" s="16"/>
      <c r="D101" s="22"/>
      <c r="E101" s="2"/>
      <c r="F101" s="2">
        <v>5.35</v>
      </c>
      <c r="G101" s="2">
        <v>1</v>
      </c>
      <c r="H101" s="2"/>
      <c r="I101" s="2">
        <v>1</v>
      </c>
      <c r="J101" s="2">
        <v>0</v>
      </c>
      <c r="K101" s="6">
        <v>0.18</v>
      </c>
      <c r="L101" s="2">
        <v>150</v>
      </c>
      <c r="M101" s="22">
        <f>(C101+H101)*E101*F101*G101*I101+J101+L101</f>
        <v>150</v>
      </c>
      <c r="N101" s="8">
        <f>((M101/1.21)-L101)*0.18</f>
        <v>-4.6859504132231384</v>
      </c>
      <c r="O101" s="9">
        <v>0.25</v>
      </c>
      <c r="P101" s="8">
        <f>(((1-O101)*C101)/1.23)*F101+D101+N101</f>
        <v>-4.6859504132231384</v>
      </c>
      <c r="Q101" s="19">
        <f>(M101/1.21-P101)/(M101/1.21)</f>
        <v>1.0377999999999998</v>
      </c>
    </row>
    <row r="102" spans="2:17" x14ac:dyDescent="0.25">
      <c r="B102" s="123"/>
      <c r="Q102" s="18"/>
    </row>
    <row r="103" spans="2:17" x14ac:dyDescent="0.25">
      <c r="B103" s="123"/>
      <c r="Q103" s="18"/>
    </row>
    <row r="104" spans="2:17" ht="18.75" x14ac:dyDescent="0.3">
      <c r="B104" s="123"/>
      <c r="C104" s="134" t="s">
        <v>17</v>
      </c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6"/>
    </row>
    <row r="105" spans="2:17" x14ac:dyDescent="0.25">
      <c r="B105" s="123"/>
      <c r="C105" s="1" t="s">
        <v>19</v>
      </c>
      <c r="D105" s="22" t="s">
        <v>2</v>
      </c>
      <c r="E105" s="2" t="s">
        <v>3</v>
      </c>
      <c r="F105" s="2" t="s">
        <v>4</v>
      </c>
      <c r="G105" s="2" t="s">
        <v>5</v>
      </c>
      <c r="H105" s="2" t="s">
        <v>6</v>
      </c>
      <c r="I105" s="2" t="s">
        <v>7</v>
      </c>
      <c r="J105" s="2" t="s">
        <v>8</v>
      </c>
      <c r="K105" s="2" t="s">
        <v>9</v>
      </c>
      <c r="L105" s="2" t="s">
        <v>10</v>
      </c>
      <c r="M105" s="22" t="s">
        <v>11</v>
      </c>
      <c r="N105" s="2" t="s">
        <v>12</v>
      </c>
      <c r="O105" s="2" t="s">
        <v>13</v>
      </c>
      <c r="P105" s="2" t="s">
        <v>14</v>
      </c>
      <c r="Q105" s="3" t="s">
        <v>15</v>
      </c>
    </row>
    <row r="106" spans="2:17" ht="15.75" x14ac:dyDescent="0.25">
      <c r="B106" s="123"/>
      <c r="C106" s="4">
        <v>36</v>
      </c>
      <c r="D106" s="22">
        <v>5400</v>
      </c>
      <c r="E106" s="20">
        <v>1.87</v>
      </c>
      <c r="F106" s="2">
        <v>95</v>
      </c>
      <c r="G106" s="2">
        <v>1</v>
      </c>
      <c r="H106" s="20">
        <v>30</v>
      </c>
      <c r="I106" s="2">
        <v>1</v>
      </c>
      <c r="J106" s="2">
        <v>0</v>
      </c>
      <c r="K106" s="6">
        <v>0.18</v>
      </c>
      <c r="L106" s="2">
        <v>1380</v>
      </c>
      <c r="M106" s="22">
        <f>(C106+H106)*E106*F106*G106*I106+J106+L106</f>
        <v>13104.9</v>
      </c>
      <c r="N106" s="8">
        <f>((M106/1.27)-L106)*0.18</f>
        <v>1608.987401574803</v>
      </c>
      <c r="O106" s="9">
        <v>0.25</v>
      </c>
      <c r="P106" s="8">
        <f>(((1-O106)*C106)/1.23)*F106+D106+N106</f>
        <v>9094.35325523334</v>
      </c>
      <c r="Q106" s="19">
        <f>(M106/1.27-P106)/(M106/1.27)</f>
        <v>0.11866335232269289</v>
      </c>
    </row>
    <row r="107" spans="2:17" ht="15.75" x14ac:dyDescent="0.25">
      <c r="B107" s="123"/>
      <c r="C107" s="10">
        <v>179</v>
      </c>
      <c r="D107" s="22">
        <v>5400</v>
      </c>
      <c r="E107" s="20">
        <v>1.2</v>
      </c>
      <c r="F107" s="2">
        <v>95</v>
      </c>
      <c r="G107" s="2">
        <v>1</v>
      </c>
      <c r="H107" s="20">
        <v>30</v>
      </c>
      <c r="I107" s="2">
        <v>1</v>
      </c>
      <c r="J107" s="2">
        <v>0</v>
      </c>
      <c r="K107" s="6">
        <v>0.18</v>
      </c>
      <c r="L107" s="2">
        <v>3410</v>
      </c>
      <c r="M107" s="22">
        <f>(C107+H107)*E107*F107*G107*I107+J107+L107</f>
        <v>27236</v>
      </c>
      <c r="N107" s="8">
        <f>((M107/1.27)-L107)*0.18</f>
        <v>3246.4204724409446</v>
      </c>
      <c r="O107" s="9">
        <v>0.25</v>
      </c>
      <c r="P107" s="8">
        <f>(((1-O107)*C107)/1.23)*F107+D107+N107</f>
        <v>19015.322911465337</v>
      </c>
      <c r="Q107" s="19">
        <f>(M107/1.27-P107)/(M107/1.27)</f>
        <v>0.11332574175499416</v>
      </c>
    </row>
    <row r="108" spans="2:17" ht="15.75" x14ac:dyDescent="0.25">
      <c r="B108" s="123"/>
      <c r="C108" s="12">
        <v>269</v>
      </c>
      <c r="D108" s="22">
        <v>5400</v>
      </c>
      <c r="E108" s="20">
        <v>1.06</v>
      </c>
      <c r="F108" s="2">
        <v>95</v>
      </c>
      <c r="G108" s="2">
        <v>1</v>
      </c>
      <c r="H108" s="20">
        <v>30</v>
      </c>
      <c r="I108" s="2">
        <v>1</v>
      </c>
      <c r="J108" s="2">
        <v>0</v>
      </c>
      <c r="K108" s="6">
        <v>0.18</v>
      </c>
      <c r="L108" s="2">
        <v>5610</v>
      </c>
      <c r="M108" s="22">
        <f>(C108+H108)*E108*F108*G108*I108+J108+L108</f>
        <v>35719.300000000003</v>
      </c>
      <c r="N108" s="8">
        <f>((M108/1.27)-L108)*0.18</f>
        <v>4052.7779527559055</v>
      </c>
      <c r="O108" s="9">
        <v>0.25</v>
      </c>
      <c r="P108" s="8">
        <f>(((1-O108)*C108)/1.23)*F108+D108+N108</f>
        <v>25035.095025926639</v>
      </c>
      <c r="Q108" s="19">
        <f>(M108/1.27-P108)/(M108/1.27)</f>
        <v>0.10987699414807038</v>
      </c>
    </row>
    <row r="109" spans="2:17" ht="15.75" x14ac:dyDescent="0.25">
      <c r="B109" s="123"/>
      <c r="C109" s="14">
        <v>769</v>
      </c>
      <c r="D109" s="22">
        <v>10800</v>
      </c>
      <c r="E109" s="20">
        <v>1.08</v>
      </c>
      <c r="F109" s="2">
        <v>95</v>
      </c>
      <c r="G109" s="2">
        <v>1</v>
      </c>
      <c r="H109" s="20">
        <v>30</v>
      </c>
      <c r="I109" s="2">
        <v>1</v>
      </c>
      <c r="J109" s="2">
        <v>0</v>
      </c>
      <c r="K109" s="6">
        <v>0.18</v>
      </c>
      <c r="L109" s="2">
        <v>12320</v>
      </c>
      <c r="M109" s="22">
        <f>(C109+H109)*E109*F109*G109*I109+J109+L109</f>
        <v>94297.400000000009</v>
      </c>
      <c r="N109" s="8">
        <f>((M109/1.27)-L109)*0.18</f>
        <v>11147.385826771653</v>
      </c>
      <c r="O109" s="9">
        <v>0.25</v>
      </c>
      <c r="P109" s="8">
        <f>(((1-O109)*C109)/1.23)*F109+D109+N109</f>
        <v>66493.117534088728</v>
      </c>
      <c r="Q109" s="19">
        <f>(M109/1.27-P109)/(M109/1.27)</f>
        <v>0.104468847833634</v>
      </c>
    </row>
    <row r="110" spans="2:17" ht="16.5" thickBot="1" x14ac:dyDescent="0.3">
      <c r="B110" s="124"/>
      <c r="C110" s="16">
        <v>1999</v>
      </c>
      <c r="D110" s="22">
        <v>10800</v>
      </c>
      <c r="E110" s="20">
        <v>1.02</v>
      </c>
      <c r="F110" s="2">
        <v>95</v>
      </c>
      <c r="G110" s="2">
        <v>1</v>
      </c>
      <c r="H110" s="20">
        <v>30</v>
      </c>
      <c r="I110" s="2">
        <v>1</v>
      </c>
      <c r="J110" s="2">
        <v>0</v>
      </c>
      <c r="K110" s="6">
        <v>0.18</v>
      </c>
      <c r="L110" s="2">
        <v>19605</v>
      </c>
      <c r="M110" s="22">
        <f>(C110+H110)*E110*F110*G110*I110+J110+L110</f>
        <v>216215.1</v>
      </c>
      <c r="N110" s="8">
        <f>((M110/1.27)-L110)*0.18</f>
        <v>27115.759842519685</v>
      </c>
      <c r="O110" s="9">
        <v>0.25</v>
      </c>
      <c r="P110" s="8">
        <f>(((1-O110)*C110)/1.23)*F110+D110+N110</f>
        <v>153711.49154983676</v>
      </c>
      <c r="Q110" s="19">
        <f>(M110/1.27-P110)/(M110/1.27)</f>
        <v>9.7132465455499209E-2</v>
      </c>
    </row>
    <row r="112" spans="2:17" ht="15.75" thickBot="1" x14ac:dyDescent="0.3"/>
    <row r="113" spans="2:17" ht="18.75" x14ac:dyDescent="0.3">
      <c r="B113" s="142" t="s">
        <v>30</v>
      </c>
      <c r="C113" s="131" t="s">
        <v>16</v>
      </c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3"/>
    </row>
    <row r="114" spans="2:17" x14ac:dyDescent="0.25">
      <c r="B114" s="143"/>
      <c r="C114" s="1" t="s">
        <v>1</v>
      </c>
      <c r="D114" s="22" t="s">
        <v>2</v>
      </c>
      <c r="E114" s="2" t="s">
        <v>3</v>
      </c>
      <c r="F114" s="2" t="s">
        <v>4</v>
      </c>
      <c r="G114" s="2" t="s">
        <v>5</v>
      </c>
      <c r="H114" s="2" t="s">
        <v>6</v>
      </c>
      <c r="I114" s="2" t="s">
        <v>7</v>
      </c>
      <c r="J114" s="2" t="s">
        <v>8</v>
      </c>
      <c r="K114" s="2" t="s">
        <v>9</v>
      </c>
      <c r="L114" s="2" t="s">
        <v>10</v>
      </c>
      <c r="M114" s="22" t="s">
        <v>11</v>
      </c>
      <c r="N114" s="2" t="s">
        <v>12</v>
      </c>
      <c r="O114" s="2" t="s">
        <v>13</v>
      </c>
      <c r="P114" s="2" t="s">
        <v>14</v>
      </c>
      <c r="Q114" s="3" t="s">
        <v>15</v>
      </c>
    </row>
    <row r="115" spans="2:17" ht="15.75" x14ac:dyDescent="0.25">
      <c r="B115" s="143"/>
      <c r="C115" s="4"/>
      <c r="D115" s="22"/>
      <c r="E115" s="2"/>
      <c r="F115" s="2">
        <v>95</v>
      </c>
      <c r="G115" s="2">
        <v>1.23</v>
      </c>
      <c r="H115" s="2">
        <v>40</v>
      </c>
      <c r="I115" s="2">
        <v>1</v>
      </c>
      <c r="J115" s="2">
        <v>0</v>
      </c>
      <c r="K115" s="6">
        <v>0.18</v>
      </c>
      <c r="L115" s="2">
        <v>1380</v>
      </c>
      <c r="M115" s="22">
        <f>(C115+H115)*E115*F115*G115*I115+J115+L115</f>
        <v>1380</v>
      </c>
      <c r="N115" s="8">
        <f>((M115/1.21)-L115)*0.18</f>
        <v>-43.110743801652902</v>
      </c>
      <c r="O115" s="9">
        <v>0</v>
      </c>
      <c r="P115" s="8">
        <f>(1-O115)*C115*F115+D115+N115</f>
        <v>-43.110743801652902</v>
      </c>
      <c r="Q115" s="19">
        <f>(M115/1.21-P115)/(M115/1.21)</f>
        <v>1.0378000000000001</v>
      </c>
    </row>
    <row r="116" spans="2:17" ht="15.75" x14ac:dyDescent="0.25">
      <c r="B116" s="143"/>
      <c r="C116" s="10"/>
      <c r="D116" s="22"/>
      <c r="E116" s="2"/>
      <c r="F116" s="2">
        <v>95</v>
      </c>
      <c r="G116" s="2">
        <v>1.23</v>
      </c>
      <c r="H116" s="2">
        <v>30</v>
      </c>
      <c r="I116" s="2">
        <v>1</v>
      </c>
      <c r="J116" s="2">
        <v>0</v>
      </c>
      <c r="K116" s="6">
        <v>0.18</v>
      </c>
      <c r="L116" s="2">
        <v>1380</v>
      </c>
      <c r="M116" s="22">
        <f>(C116+H116)*E116*F116*G116*I116+J116+L116</f>
        <v>1380</v>
      </c>
      <c r="N116" s="8">
        <f>((M116/1.21)-L116)*0.18</f>
        <v>-43.110743801652902</v>
      </c>
      <c r="O116" s="9">
        <v>0</v>
      </c>
      <c r="P116" s="8">
        <f>(1-O116)*C116*F116+D116+N116</f>
        <v>-43.110743801652902</v>
      </c>
      <c r="Q116" s="19">
        <f>(M116/1.21-P116)/(M116/1.21)</f>
        <v>1.0378000000000001</v>
      </c>
    </row>
    <row r="117" spans="2:17" ht="15.75" x14ac:dyDescent="0.25">
      <c r="B117" s="143"/>
      <c r="C117" s="12"/>
      <c r="D117" s="22"/>
      <c r="E117" s="2"/>
      <c r="F117" s="2">
        <v>95</v>
      </c>
      <c r="G117" s="2">
        <v>1.23</v>
      </c>
      <c r="H117" s="2">
        <v>30</v>
      </c>
      <c r="I117" s="2">
        <v>1</v>
      </c>
      <c r="J117" s="2">
        <v>0</v>
      </c>
      <c r="K117" s="6">
        <v>0.18</v>
      </c>
      <c r="L117" s="2">
        <v>3410</v>
      </c>
      <c r="M117" s="22">
        <f>(C117+H117)*E117*F117*G117*I117+J117+L117</f>
        <v>3410</v>
      </c>
      <c r="N117" s="8">
        <f>((M117/1.21)-L117)*0.18</f>
        <v>-106.52727272727267</v>
      </c>
      <c r="O117" s="9">
        <v>0</v>
      </c>
      <c r="P117" s="8">
        <f>(1-O117)*C117*F117+D117+N117</f>
        <v>-106.52727272727267</v>
      </c>
      <c r="Q117" s="19">
        <f>(M117/1.21-P117)/(M117/1.21)</f>
        <v>1.0378000000000001</v>
      </c>
    </row>
    <row r="118" spans="2:17" ht="15.75" x14ac:dyDescent="0.25">
      <c r="B118" s="143"/>
      <c r="C118" s="14"/>
      <c r="D118" s="22"/>
      <c r="E118" s="2"/>
      <c r="F118" s="2">
        <v>95</v>
      </c>
      <c r="G118" s="2">
        <v>1.23</v>
      </c>
      <c r="H118" s="2">
        <v>30</v>
      </c>
      <c r="I118" s="2">
        <v>1</v>
      </c>
      <c r="J118" s="2">
        <v>0</v>
      </c>
      <c r="K118" s="6">
        <v>0.18</v>
      </c>
      <c r="L118" s="2">
        <v>5600</v>
      </c>
      <c r="M118" s="22">
        <f>(C118+H118)*E118*F118*G118*I118+J118+L118</f>
        <v>5600</v>
      </c>
      <c r="N118" s="8">
        <f>((M118/1.21)-L118)*0.18</f>
        <v>-174.94214876033055</v>
      </c>
      <c r="O118" s="9">
        <v>0</v>
      </c>
      <c r="P118" s="8">
        <f>(1-O118)*C118*F118+D118+N118</f>
        <v>-174.94214876033055</v>
      </c>
      <c r="Q118" s="19">
        <f>(M118/1.21-P118)/(M118/1.21)</f>
        <v>1.0378000000000001</v>
      </c>
    </row>
    <row r="119" spans="2:17" ht="15.75" x14ac:dyDescent="0.25">
      <c r="B119" s="143"/>
      <c r="C119" s="16"/>
      <c r="D119" s="22"/>
      <c r="E119" s="2"/>
      <c r="F119" s="2">
        <v>95</v>
      </c>
      <c r="G119" s="2">
        <v>1.23</v>
      </c>
      <c r="H119" s="2">
        <v>30</v>
      </c>
      <c r="I119" s="2">
        <v>1</v>
      </c>
      <c r="J119" s="2">
        <v>0</v>
      </c>
      <c r="K119" s="6">
        <v>0.18</v>
      </c>
      <c r="L119" s="2">
        <v>8270</v>
      </c>
      <c r="M119" s="22">
        <f>(C119+H119)*E119*F119*G119*I119+J119+L119</f>
        <v>8270</v>
      </c>
      <c r="N119" s="8">
        <f>((M119/1.21)-L119)*0.18</f>
        <v>-258.35206611570248</v>
      </c>
      <c r="O119" s="9">
        <v>0</v>
      </c>
      <c r="P119" s="8">
        <f>(1-O119)*C119*F119+D119+N119</f>
        <v>-258.35206611570248</v>
      </c>
      <c r="Q119" s="19">
        <f>(M119/1.21-P119)/(M119/1.21)</f>
        <v>1.0378000000000001</v>
      </c>
    </row>
    <row r="120" spans="2:17" x14ac:dyDescent="0.25">
      <c r="B120" s="143"/>
      <c r="Q120" s="18"/>
    </row>
    <row r="121" spans="2:17" x14ac:dyDescent="0.25">
      <c r="B121" s="143"/>
      <c r="Q121" s="18"/>
    </row>
    <row r="122" spans="2:17" ht="18.75" x14ac:dyDescent="0.3">
      <c r="B122" s="143"/>
      <c r="C122" s="134" t="s">
        <v>17</v>
      </c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6"/>
    </row>
    <row r="123" spans="2:17" x14ac:dyDescent="0.25">
      <c r="B123" s="143"/>
      <c r="C123" s="1" t="s">
        <v>1</v>
      </c>
      <c r="D123" s="22" t="s">
        <v>2</v>
      </c>
      <c r="E123" s="2" t="s">
        <v>3</v>
      </c>
      <c r="F123" s="2" t="s">
        <v>4</v>
      </c>
      <c r="G123" s="2" t="s">
        <v>5</v>
      </c>
      <c r="H123" s="2" t="s">
        <v>6</v>
      </c>
      <c r="I123" s="2" t="s">
        <v>7</v>
      </c>
      <c r="J123" s="2" t="s">
        <v>8</v>
      </c>
      <c r="K123" s="2" t="s">
        <v>9</v>
      </c>
      <c r="L123" s="2" t="s">
        <v>10</v>
      </c>
      <c r="M123" s="22" t="s">
        <v>11</v>
      </c>
      <c r="N123" s="2" t="s">
        <v>12</v>
      </c>
      <c r="O123" s="2" t="s">
        <v>13</v>
      </c>
      <c r="P123" s="2" t="s">
        <v>14</v>
      </c>
      <c r="Q123" s="3" t="s">
        <v>15</v>
      </c>
    </row>
    <row r="124" spans="2:17" ht="15.75" x14ac:dyDescent="0.25">
      <c r="B124" s="143"/>
      <c r="C124" s="4">
        <v>13.9</v>
      </c>
      <c r="D124" s="22">
        <v>5400</v>
      </c>
      <c r="E124" s="2">
        <v>1.54</v>
      </c>
      <c r="F124" s="2">
        <v>95</v>
      </c>
      <c r="G124" s="2">
        <v>1.23</v>
      </c>
      <c r="H124" s="5">
        <v>40</v>
      </c>
      <c r="I124" s="2">
        <v>1</v>
      </c>
      <c r="J124" s="2">
        <v>0</v>
      </c>
      <c r="K124" s="6">
        <v>0.18</v>
      </c>
      <c r="L124" s="2">
        <v>1380</v>
      </c>
      <c r="M124" s="22">
        <f>(C124+H124)*E124*F124*G124*I124+J124+L124</f>
        <v>11079.251099999999</v>
      </c>
      <c r="N124" s="8">
        <f>((M124/1.21)-L124)*0.18</f>
        <v>1399.7530561983472</v>
      </c>
      <c r="O124" s="9">
        <v>0</v>
      </c>
      <c r="P124" s="8">
        <f>(1-O124)*C124*F124+D124+N124</f>
        <v>8120.2530561983476</v>
      </c>
      <c r="Q124" s="19">
        <f>(M124/1.21-P124)/(M124/1.21)</f>
        <v>0.11316152063743727</v>
      </c>
    </row>
    <row r="125" spans="2:17" ht="15.75" x14ac:dyDescent="0.25">
      <c r="B125" s="143"/>
      <c r="C125" s="10">
        <v>70.900000000000006</v>
      </c>
      <c r="D125" s="22">
        <v>5400</v>
      </c>
      <c r="E125" s="2">
        <v>1.6</v>
      </c>
      <c r="F125" s="2">
        <v>95</v>
      </c>
      <c r="G125" s="2">
        <v>1.23</v>
      </c>
      <c r="H125" s="11">
        <v>30</v>
      </c>
      <c r="I125" s="2">
        <v>1</v>
      </c>
      <c r="J125" s="2">
        <v>0</v>
      </c>
      <c r="K125" s="6">
        <v>0.18</v>
      </c>
      <c r="L125" s="2">
        <v>1380</v>
      </c>
      <c r="M125" s="22">
        <f>(C125+H125)*E125*F125*G125*I125+J125+L125</f>
        <v>20244.264000000003</v>
      </c>
      <c r="N125" s="8">
        <f>((M125/1.21)-L125)*0.18</f>
        <v>2763.1434049586778</v>
      </c>
      <c r="O125" s="9">
        <v>0</v>
      </c>
      <c r="P125" s="8">
        <f>(1-O125)*C125*F125+D125+N125</f>
        <v>14898.643404958679</v>
      </c>
      <c r="Q125" s="19">
        <f>(M125/1.21-P125)/(M125/1.21)</f>
        <v>0.10950783293480072</v>
      </c>
    </row>
    <row r="126" spans="2:17" ht="15.75" x14ac:dyDescent="0.25">
      <c r="B126" s="143"/>
      <c r="C126" s="12">
        <v>132</v>
      </c>
      <c r="D126" s="22">
        <v>5400</v>
      </c>
      <c r="E126" s="2">
        <v>1.46</v>
      </c>
      <c r="F126" s="2">
        <v>95</v>
      </c>
      <c r="G126" s="2">
        <v>1.23</v>
      </c>
      <c r="H126" s="13">
        <v>20</v>
      </c>
      <c r="I126" s="2">
        <v>1</v>
      </c>
      <c r="J126" s="2">
        <v>0</v>
      </c>
      <c r="K126" s="6">
        <v>0.18</v>
      </c>
      <c r="L126" s="2">
        <v>3410</v>
      </c>
      <c r="M126" s="22">
        <f>(C126+H126)*E126*F126*G126*I126+J126+L126</f>
        <v>29341.351999999995</v>
      </c>
      <c r="N126" s="8">
        <f>((M126/1.21)-L126)*0.18</f>
        <v>3751.0292231404951</v>
      </c>
      <c r="O126" s="9">
        <v>0</v>
      </c>
      <c r="P126" s="8">
        <f>(1-O126)*C126*F126+D126+N126</f>
        <v>21691.029223140496</v>
      </c>
      <c r="Q126" s="19">
        <f>(M126/1.21-P126)/(M126/1.21)</f>
        <v>0.1054895711690448</v>
      </c>
    </row>
    <row r="127" spans="2:17" ht="15.75" x14ac:dyDescent="0.25">
      <c r="B127" s="143"/>
      <c r="C127" s="14">
        <v>272</v>
      </c>
      <c r="D127" s="22">
        <v>5400</v>
      </c>
      <c r="E127" s="2">
        <v>1.31</v>
      </c>
      <c r="F127" s="2">
        <v>95</v>
      </c>
      <c r="G127" s="2">
        <v>1.23</v>
      </c>
      <c r="H127" s="15">
        <v>20</v>
      </c>
      <c r="I127" s="2">
        <v>1</v>
      </c>
      <c r="J127" s="2">
        <v>0</v>
      </c>
      <c r="K127" s="6">
        <v>0.18</v>
      </c>
      <c r="L127" s="2">
        <v>5610</v>
      </c>
      <c r="M127" s="22">
        <f>(C127+H127)*E127*F127*G127*I127+J127+L127</f>
        <v>50307.462</v>
      </c>
      <c r="N127" s="8">
        <f>((M127/1.21)-L127)*0.18</f>
        <v>6473.9546776859497</v>
      </c>
      <c r="O127" s="9">
        <v>0</v>
      </c>
      <c r="P127" s="8">
        <f>(1-O127)*C127*F127+D127+N127</f>
        <v>37713.95467768595</v>
      </c>
      <c r="Q127" s="19">
        <f>(M127/1.21-P127)/(M127/1.21)</f>
        <v>9.2900270739159935E-2</v>
      </c>
    </row>
    <row r="128" spans="2:17" ht="16.5" thickBot="1" x14ac:dyDescent="0.3">
      <c r="B128" s="144"/>
      <c r="C128" s="16">
        <v>439</v>
      </c>
      <c r="D128" s="22">
        <v>5400</v>
      </c>
      <c r="E128" s="2">
        <v>1.24</v>
      </c>
      <c r="F128" s="2">
        <v>95</v>
      </c>
      <c r="G128" s="2">
        <v>1.23</v>
      </c>
      <c r="H128" s="17">
        <v>20</v>
      </c>
      <c r="I128" s="2">
        <v>1</v>
      </c>
      <c r="J128" s="2">
        <v>0</v>
      </c>
      <c r="K128" s="6">
        <v>0.18</v>
      </c>
      <c r="L128" s="2">
        <v>8270</v>
      </c>
      <c r="M128" s="22">
        <f>(C128+H128)*E128*F128*G128*I128+J128+L128</f>
        <v>74776.34599999999</v>
      </c>
      <c r="N128" s="8">
        <f>((M128/1.21)-L128)*0.18</f>
        <v>9635.1539504132215</v>
      </c>
      <c r="O128" s="9">
        <v>0</v>
      </c>
      <c r="P128" s="8">
        <f>(1-O128)*C128*F128+D128+N128</f>
        <v>56740.153950413223</v>
      </c>
      <c r="Q128" s="19">
        <f>(M128/1.21-P128)/(M128/1.21)</f>
        <v>8.1854223259317793E-2</v>
      </c>
    </row>
    <row r="131" spans="2:14" ht="15.75" thickBot="1" x14ac:dyDescent="0.3"/>
    <row r="132" spans="2:14" x14ac:dyDescent="0.25">
      <c r="B132" s="142" t="s">
        <v>105</v>
      </c>
      <c r="C132" s="69" t="s">
        <v>47</v>
      </c>
      <c r="D132" s="26"/>
      <c r="E132" s="70"/>
      <c r="F132" s="26"/>
      <c r="G132" s="26"/>
      <c r="H132" s="26"/>
      <c r="I132" s="26"/>
      <c r="J132" s="26"/>
      <c r="K132" s="26"/>
      <c r="L132" s="26"/>
      <c r="M132" s="27"/>
      <c r="N132" s="21"/>
    </row>
    <row r="133" spans="2:14" x14ac:dyDescent="0.25">
      <c r="B133" s="143"/>
      <c r="C133" s="28"/>
      <c r="D133"/>
      <c r="G133" t="s">
        <v>49</v>
      </c>
      <c r="M133" s="18"/>
    </row>
    <row r="134" spans="2:14" x14ac:dyDescent="0.25">
      <c r="B134" s="143"/>
      <c r="C134" s="28" t="s">
        <v>34</v>
      </c>
      <c r="D134" t="s">
        <v>35</v>
      </c>
      <c r="E134" t="s">
        <v>36</v>
      </c>
      <c r="F134" t="s">
        <v>37</v>
      </c>
      <c r="G134" t="s">
        <v>46</v>
      </c>
      <c r="H134" t="s">
        <v>39</v>
      </c>
      <c r="I134" t="s">
        <v>40</v>
      </c>
      <c r="J134" t="s">
        <v>41</v>
      </c>
      <c r="K134" t="s">
        <v>42</v>
      </c>
      <c r="L134" t="s">
        <v>15</v>
      </c>
      <c r="M134" s="18" t="s">
        <v>45</v>
      </c>
    </row>
    <row r="135" spans="2:14" x14ac:dyDescent="0.25">
      <c r="B135" s="143"/>
      <c r="C135" s="28">
        <v>3210</v>
      </c>
      <c r="D135">
        <v>5675</v>
      </c>
      <c r="E135">
        <v>1.35</v>
      </c>
      <c r="F135">
        <v>1.23</v>
      </c>
      <c r="G135">
        <v>0</v>
      </c>
      <c r="H135" s="23">
        <f t="shared" ref="H135:H141" si="0">(C135*E135*F135)-G135</f>
        <v>5330.2049999999999</v>
      </c>
      <c r="I135" s="23">
        <f>H135/1.21</f>
        <v>4405.1280991735539</v>
      </c>
      <c r="J135">
        <v>8700</v>
      </c>
      <c r="K135" s="23">
        <f>I135*0.16</f>
        <v>704.82049586776861</v>
      </c>
      <c r="L135" s="71">
        <f>((I135+J135)-K135-C135-D135)/(I135+J135)</f>
        <v>0.26823908753150388</v>
      </c>
      <c r="M135" s="18" t="s">
        <v>60</v>
      </c>
    </row>
    <row r="136" spans="2:14" x14ac:dyDescent="0.25">
      <c r="B136" s="143"/>
      <c r="C136" s="28">
        <v>5680</v>
      </c>
      <c r="D136">
        <v>5675</v>
      </c>
      <c r="E136">
        <v>1.35</v>
      </c>
      <c r="F136">
        <v>1.23</v>
      </c>
      <c r="G136">
        <v>1250</v>
      </c>
      <c r="H136" s="23">
        <f t="shared" si="0"/>
        <v>8181.6400000000012</v>
      </c>
      <c r="I136" s="23">
        <f t="shared" ref="I136:I141" si="1">H136/1.21</f>
        <v>6761.6859504132244</v>
      </c>
      <c r="J136">
        <v>9080</v>
      </c>
      <c r="K136" s="23">
        <f t="shared" ref="K136:K141" si="2">I136*0.16</f>
        <v>1081.869752066116</v>
      </c>
      <c r="L136" s="71">
        <f t="shared" ref="L136:L141" si="3">((I136+J136)-K136-C136-D136)/(I136+J136)</f>
        <v>0.21492764147734514</v>
      </c>
      <c r="M136" s="18" t="s">
        <v>61</v>
      </c>
    </row>
    <row r="137" spans="2:14" x14ac:dyDescent="0.25">
      <c r="B137" s="143"/>
      <c r="C137" s="28">
        <v>11280</v>
      </c>
      <c r="D137">
        <v>8512</v>
      </c>
      <c r="E137">
        <v>1.35</v>
      </c>
      <c r="F137">
        <v>1.23</v>
      </c>
      <c r="G137">
        <v>3100</v>
      </c>
      <c r="H137" s="23">
        <f t="shared" si="0"/>
        <v>15630.440000000002</v>
      </c>
      <c r="I137" s="23">
        <f t="shared" si="1"/>
        <v>12917.719008264465</v>
      </c>
      <c r="J137">
        <v>11110</v>
      </c>
      <c r="K137" s="23">
        <f t="shared" si="2"/>
        <v>2066.8350413223143</v>
      </c>
      <c r="L137" s="71">
        <f t="shared" si="3"/>
        <v>9.0265911891018485E-2</v>
      </c>
      <c r="M137" s="18" t="s">
        <v>62</v>
      </c>
    </row>
    <row r="138" spans="2:14" x14ac:dyDescent="0.25">
      <c r="B138" s="143"/>
      <c r="C138" s="28">
        <v>28290</v>
      </c>
      <c r="D138">
        <v>8512</v>
      </c>
      <c r="E138">
        <v>1.35</v>
      </c>
      <c r="F138">
        <v>1.23</v>
      </c>
      <c r="G138">
        <v>5100</v>
      </c>
      <c r="H138" s="23">
        <f t="shared" si="0"/>
        <v>41875.544999999998</v>
      </c>
      <c r="I138" s="23">
        <f t="shared" si="1"/>
        <v>34607.888429752064</v>
      </c>
      <c r="J138">
        <v>13810</v>
      </c>
      <c r="K138" s="23">
        <f t="shared" si="2"/>
        <v>5537.2621487603301</v>
      </c>
      <c r="L138" s="71">
        <f t="shared" si="3"/>
        <v>0.12554505118105289</v>
      </c>
      <c r="M138" s="18" t="s">
        <v>63</v>
      </c>
    </row>
    <row r="139" spans="2:14" x14ac:dyDescent="0.25">
      <c r="B139" s="143"/>
      <c r="C139" s="28">
        <v>34890</v>
      </c>
      <c r="D139">
        <v>11349</v>
      </c>
      <c r="E139">
        <v>1.35</v>
      </c>
      <c r="F139">
        <v>1.23</v>
      </c>
      <c r="G139">
        <v>7520</v>
      </c>
      <c r="H139" s="23">
        <f t="shared" si="0"/>
        <v>50414.845000000001</v>
      </c>
      <c r="I139" s="23">
        <f t="shared" si="1"/>
        <v>41665.161157024799</v>
      </c>
      <c r="J139">
        <v>16470</v>
      </c>
      <c r="K139" s="23">
        <f t="shared" si="2"/>
        <v>6666.4257851239681</v>
      </c>
      <c r="L139" s="71">
        <f t="shared" si="3"/>
        <v>8.9958215782272644E-2</v>
      </c>
      <c r="M139" s="18" t="s">
        <v>64</v>
      </c>
    </row>
    <row r="140" spans="2:14" x14ac:dyDescent="0.25">
      <c r="B140" s="143"/>
      <c r="C140" s="28">
        <v>55990</v>
      </c>
      <c r="D140">
        <v>11349</v>
      </c>
      <c r="E140">
        <v>1.35</v>
      </c>
      <c r="F140">
        <v>1.23</v>
      </c>
      <c r="G140">
        <v>11200</v>
      </c>
      <c r="H140" s="23">
        <f t="shared" si="0"/>
        <v>81771.395000000004</v>
      </c>
      <c r="I140" s="23">
        <f t="shared" si="1"/>
        <v>67579.665289256198</v>
      </c>
      <c r="J140">
        <v>22315</v>
      </c>
      <c r="K140" s="23">
        <f t="shared" si="2"/>
        <v>10812.746446280991</v>
      </c>
      <c r="L140" s="71">
        <f t="shared" si="3"/>
        <v>0.13062976323666975</v>
      </c>
      <c r="M140" s="18" t="s">
        <v>65</v>
      </c>
    </row>
    <row r="141" spans="2:14" x14ac:dyDescent="0.25">
      <c r="B141" s="143"/>
      <c r="C141" s="28">
        <v>111700</v>
      </c>
      <c r="D141">
        <v>14187</v>
      </c>
      <c r="E141">
        <v>1.35</v>
      </c>
      <c r="F141">
        <v>1.23</v>
      </c>
      <c r="G141">
        <v>17824</v>
      </c>
      <c r="H141" s="23">
        <f t="shared" si="0"/>
        <v>167653.85</v>
      </c>
      <c r="I141" s="23">
        <f t="shared" si="1"/>
        <v>138556.90082644628</v>
      </c>
      <c r="J141">
        <v>30270</v>
      </c>
      <c r="K141" s="23">
        <f t="shared" si="2"/>
        <v>22169.104132231405</v>
      </c>
      <c r="L141" s="71">
        <f t="shared" si="3"/>
        <v>0.12303013674086928</v>
      </c>
      <c r="M141" s="18" t="s">
        <v>106</v>
      </c>
    </row>
    <row r="142" spans="2:14" ht="15.75" thickBot="1" x14ac:dyDescent="0.3">
      <c r="B142" s="143"/>
      <c r="C142" s="29"/>
      <c r="D142" s="74"/>
      <c r="E142" s="30"/>
      <c r="F142" s="30"/>
      <c r="G142" s="30"/>
      <c r="H142" s="30"/>
      <c r="I142" s="30"/>
      <c r="J142" s="30"/>
      <c r="K142" s="30"/>
      <c r="L142" s="30"/>
      <c r="M142" s="31"/>
    </row>
    <row r="143" spans="2:14" x14ac:dyDescent="0.25">
      <c r="B143" s="143"/>
      <c r="C143" s="69"/>
      <c r="D143" s="70"/>
      <c r="E143" s="26"/>
      <c r="F143" s="26"/>
      <c r="G143" s="26"/>
      <c r="H143" s="26"/>
      <c r="I143" s="26"/>
      <c r="J143" s="26"/>
      <c r="K143" s="26"/>
      <c r="L143" s="26"/>
      <c r="M143" s="27"/>
    </row>
    <row r="144" spans="2:14" x14ac:dyDescent="0.25">
      <c r="B144" s="143"/>
      <c r="C144" s="28" t="s">
        <v>48</v>
      </c>
      <c r="D144"/>
      <c r="E144" s="21"/>
      <c r="M144" s="72"/>
    </row>
    <row r="145" spans="2:13" x14ac:dyDescent="0.25">
      <c r="B145" s="143"/>
      <c r="C145" s="28"/>
      <c r="D145"/>
      <c r="G145" t="s">
        <v>49</v>
      </c>
      <c r="M145" s="18"/>
    </row>
    <row r="146" spans="2:13" x14ac:dyDescent="0.25">
      <c r="B146" s="143"/>
      <c r="C146" s="28" t="s">
        <v>34</v>
      </c>
      <c r="D146" t="s">
        <v>35</v>
      </c>
      <c r="E146" t="s">
        <v>36</v>
      </c>
      <c r="F146" t="s">
        <v>37</v>
      </c>
      <c r="G146" t="s">
        <v>46</v>
      </c>
      <c r="H146" t="s">
        <v>39</v>
      </c>
      <c r="I146" t="s">
        <v>40</v>
      </c>
      <c r="J146" t="s">
        <v>41</v>
      </c>
      <c r="K146" t="s">
        <v>42</v>
      </c>
      <c r="L146" t="s">
        <v>15</v>
      </c>
      <c r="M146" s="18" t="s">
        <v>45</v>
      </c>
    </row>
    <row r="147" spans="2:13" x14ac:dyDescent="0.25">
      <c r="B147" s="143"/>
      <c r="C147" s="28">
        <v>3210</v>
      </c>
      <c r="D147">
        <v>5675</v>
      </c>
      <c r="E147">
        <v>1.44</v>
      </c>
      <c r="F147">
        <v>1.23</v>
      </c>
      <c r="G147">
        <v>0</v>
      </c>
      <c r="H147" s="23">
        <f t="shared" ref="H147:H150" si="4">(C147*E147*F147)-G147</f>
        <v>5685.5519999999997</v>
      </c>
      <c r="I147" s="23">
        <f>H147/1.21</f>
        <v>4698.8033057851235</v>
      </c>
      <c r="J147">
        <v>7700</v>
      </c>
      <c r="K147" s="23">
        <f>I147*0.18</f>
        <v>845.78459504132218</v>
      </c>
      <c r="L147" s="71">
        <f>((I147+J147)-K147-C147-D147)/(I147+J147)</f>
        <v>0.21518356610262038</v>
      </c>
      <c r="M147" s="18" t="s">
        <v>68</v>
      </c>
    </row>
    <row r="148" spans="2:13" x14ac:dyDescent="0.25">
      <c r="B148" s="143"/>
      <c r="C148" s="28">
        <v>5680</v>
      </c>
      <c r="D148">
        <v>8512</v>
      </c>
      <c r="E148">
        <v>1.44</v>
      </c>
      <c r="F148">
        <v>1.23</v>
      </c>
      <c r="G148">
        <v>0</v>
      </c>
      <c r="H148" s="23">
        <f t="shared" si="4"/>
        <v>10060.415999999999</v>
      </c>
      <c r="I148" s="23">
        <f t="shared" ref="I148:I150" si="5">H148/1.21</f>
        <v>8314.3933884297512</v>
      </c>
      <c r="J148">
        <v>8200</v>
      </c>
      <c r="K148" s="23">
        <f t="shared" ref="K148:K150" si="6">I148*0.18</f>
        <v>1496.5908099173553</v>
      </c>
      <c r="L148" s="71">
        <f t="shared" ref="L148:L150" si="7">((I148+J148)-K148-C148-D148)/(I148+J148)</f>
        <v>5.0005020413947873E-2</v>
      </c>
      <c r="M148" s="18" t="s">
        <v>69</v>
      </c>
    </row>
    <row r="149" spans="2:13" x14ac:dyDescent="0.25">
      <c r="B149" s="143"/>
      <c r="C149" s="28">
        <v>5680</v>
      </c>
      <c r="D149">
        <v>11349</v>
      </c>
      <c r="E149">
        <v>1.44</v>
      </c>
      <c r="F149">
        <v>1.23</v>
      </c>
      <c r="G149">
        <v>0</v>
      </c>
      <c r="H149" s="23">
        <f t="shared" ref="H149" si="8">(C149*E149*F149)-G149</f>
        <v>10060.415999999999</v>
      </c>
      <c r="I149" s="23">
        <f t="shared" ref="I149" si="9">H149/1.21</f>
        <v>8314.3933884297512</v>
      </c>
      <c r="J149">
        <v>9595</v>
      </c>
      <c r="K149" s="23">
        <f t="shared" ref="K149" si="10">I149*0.18</f>
        <v>1496.5908099173553</v>
      </c>
      <c r="L149" s="71">
        <f t="shared" ref="L149" si="11">((I149+J149)-K149-C149-D149)/(I149+J149)</f>
        <v>-3.4406381507354297E-2</v>
      </c>
      <c r="M149" s="18" t="s">
        <v>70</v>
      </c>
    </row>
    <row r="150" spans="2:13" ht="15.75" thickBot="1" x14ac:dyDescent="0.3">
      <c r="B150" s="144"/>
      <c r="C150" s="29">
        <v>11280</v>
      </c>
      <c r="D150" s="30">
        <v>14187</v>
      </c>
      <c r="E150" s="30">
        <v>1.44</v>
      </c>
      <c r="F150" s="30">
        <v>1.23</v>
      </c>
      <c r="G150" s="30">
        <v>0</v>
      </c>
      <c r="H150" s="64">
        <f t="shared" si="4"/>
        <v>19979.135999999999</v>
      </c>
      <c r="I150" s="64">
        <f t="shared" si="5"/>
        <v>16511.682644628097</v>
      </c>
      <c r="J150" s="30">
        <v>10665</v>
      </c>
      <c r="K150" s="64">
        <f t="shared" si="6"/>
        <v>2972.1028760330573</v>
      </c>
      <c r="L150" s="73">
        <f t="shared" si="7"/>
        <v>-4.6452330032801081E-2</v>
      </c>
      <c r="M150" s="31" t="s">
        <v>71</v>
      </c>
    </row>
  </sheetData>
  <mergeCells count="22">
    <mergeCell ref="B132:B150"/>
    <mergeCell ref="B2:B17"/>
    <mergeCell ref="C2:Q2"/>
    <mergeCell ref="C11:Q11"/>
    <mergeCell ref="B21:B36"/>
    <mergeCell ref="C21:Q21"/>
    <mergeCell ref="C30:Q30"/>
    <mergeCell ref="B77:B92"/>
    <mergeCell ref="C77:Q77"/>
    <mergeCell ref="C86:Q86"/>
    <mergeCell ref="B95:B110"/>
    <mergeCell ref="C95:Q95"/>
    <mergeCell ref="C104:Q104"/>
    <mergeCell ref="B40:B55"/>
    <mergeCell ref="C40:Q40"/>
    <mergeCell ref="C49:Q49"/>
    <mergeCell ref="B59:B74"/>
    <mergeCell ref="C59:Q59"/>
    <mergeCell ref="C68:Q68"/>
    <mergeCell ref="B113:B128"/>
    <mergeCell ref="C113:Q113"/>
    <mergeCell ref="C122:Q122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o G A A B Q S w M E F A A C A A g A K l d D V h v D E L u k A A A A 9 g A A A B I A H A B D b 2 5 m a W c v U G F j a 2 F n Z S 5 4 b W w g o h g A K K A U A A A A A A A A A A A A A A A A A A A A A A A A A A A A h Y 8 x D o I w G I W v Q r r T 0 h I T Q 3 7 K 4 A o J i Y l x b U q F R i i E F s v d H D y S V x C j q J v j + 9 4 3 v H e / 3 i C b u z a 4 q N H q 3 q S I 4 g g F y s i + 0 q Z O 0 e R O 4 R Z l H E o h z 6 J W w S I b m 8 y 2 S l H j 3 J A Q 4 r 3 H P s b 9 W B M W R Z Q c i 3 w v G 9 U J 9 J H 1 f z n U x j p h p E I c D q 8 x n G F K G d 6 w G E d A V g i F N l + B L X u f 7 Q + E 3 d S 6 a V R 8 a M M y B 7 J G I O 8 P / A F Q S w M E F A A C A A g A K l d D V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C p X Q 1 b i Z r 7 x 3 Q M A A G o Q A A A T A B w A R m 9 y b X V s Y X M v U 2 V j d G l v b j E u b S C i G A A o o B Q A A A A A A A A A A A A A A A A A A A A A A A A A A A D F V 8 1 u 2 0 Y Q v g v w O x D M x Q Z k w k 5 a B 7 W h Q y C 5 r Y H C S C M F K G o Z x Z q c S F s t d 4 j d p S R K y C V v 0 e f I q U B u q d + r Q 6 7 4 I 4 m m l E R o d d C S M 8 O Z 7 5 u f X V K D b z h K p 2 / X 8 6 t W S 4 + Z g s D x 9 X T C n I 4 j w B y 1 H P o 9 / q 0 + f w w e P y A J u 3 r q 9 d C P Q 5 D m + E c u w O u i N H S j j 9 3 u 5 f C t B q W H E l S Q D H s 4 k w J Z o I e Z R 4 / + 3 Z P 2 X Q 8 E D 7 k B 1 X G v 3 L b T R R G H U n d e / N B 2 r q W P A Z e j z s X 3 Z 2 f n b e f X G A 3 0 T S K g U 1 5 6 t y j h / u S o x e U G v J L C M 9 e S O H 5 + 4 v 7 n T J 4 f k g m f o D x w N a z L X S R e H r Q c K x o H r 8 f / w U W P C S O c h k y I U 3 9 x a i E c h B b o i c F o O O U B G 9 Z G 2 U H 0 / I A 8 J + R k j C F E 4 i l m v 4 X C G 7 A H A X r v c p V O v X k o 3 J O T t n X 7 z H 2 D i x m X / J + / T O K A g D R b D q Z J z S J 4 1 / O I y S C 7 t m S P C y R t x 0 X K w d L 1 m a H V l S y E d A 1 A + + n K w 5 F O V 2 a M y i 5 e 0 Q V / i A 1 c 8 m D 9 P l Z i X R A p 7 s O 6 a A Z 8 N D b r M m 3 Q n 7 j v U x D o r W C g l w N B L 4 e C X g 4 G v Q I O e p u A q p I V p K q o A F U V l r C q 0 h W w S q W f y v T V U e s o L z 0 e s O J U N Z j / k X a x v 9 D j 9 a p n r s 7 I b x F j e f b + L p P e N z Z G l s W G 3 r C O y 9 o v 3 Z B x m T W D r V I q 9 w p Z e k O K 5 m a 0 9 W o I 2 g C 1 0 n 1 L l 1 k I m c B j u 8 K W S L 8 4 d N F h V b b L j X Z f T 8 d G 4 + 2 D j X 9 d T j a z 3 4 S M f x m s P L N f h 4 s X 1 S I X K Y R r q 7 0 c w H x j 7 L M B r x b T 2 7 T N 5 Z v P 7 B z I H E B 1 L L N R O u j p m X n c d a a 8 + P Z D p U J C 4 Z T 7 k + S b a L z j g k f F a b n y u O v 1 8 m J f G g T h v m y w W z Z 6 / P D 5 4 2 z C a V u M M J g l j 5 / 0 A m U S 0 t 2 C Y 8 i h b L T X C k P y 8 z O w g H B W j 6 i 7 l e q V E H 2 f C a Z 0 x 6 g Y K o F + J 0 + S X s T R M U l U u h w o J v U 7 V K E l M k g i 2 n z 3 g 9 V e L l 0 K G 8 S + c W 5 6 l I s b a S 6 + 8 1 I X W d P m O k o K p P s E x Q X H U O d m 2 g G b p 4 o t e Z e E T s B 1 J F i S v p 9 K J 1 r 5 M e x h y 9 r G A N U A g J S r k 3 I j E D M w Q p X U P l o o 6 x + N l Q L p J z V w 7 N F Z B 9 L U + 8 q V 6 R m u e J R + K 9 X Z U H H r N D 2 u f Y y l q V M Y a s W Y 6 z E E W 9 p + B D 5 n Y j s Q U 4 S R m n u 7 X o X K 5 u s p Z T 3 H Q k 3 v F q i 4 q c l c Y Z L K G 9 R B R s y v z 1 N h N V I Y R 3 v a U n / 9 S R + p q J w x r 2 n I 0 p D F 9 p P W Q E j d a W C X / Z S J G J r T Z U 1 2 J M 0 a P Z m 6 t 2 9 + 2 Z L d h G x U M 3 T Z c E W r s d j S / p Q l r W 4 c r K Y W 5 i 0 J 0 y n N M t 4 w Z A H 2 Q Y j m Y c u N t g K t H 2 j r W 9 n V v 1 B L A Q I t A B Q A A g A I A C p X Q 1 Y b w x C 7 p A A A A P Y A A A A S A A A A A A A A A A A A A A A A A A A A A A B D b 2 5 m a W c v U G F j a 2 F n Z S 5 4 b W x Q S w E C L Q A U A A I A C A A q V 0 N W U 3 I 4 L J s A A A D h A A A A E w A A A A A A A A A A A A A A A A D w A A A A W 0 N v b n R l b n R f V H l w Z X N d L n h t b F B L A Q I t A B Q A A g A I A C p X Q 1 b i Z r 7 x 3 Q M A A G o Q A A A T A A A A A A A A A A A A A A A A A N g B A A B G b 3 J t d W x h c y 9 T Z W N 0 a W 9 u M S 5 t U E s F B g A A A A A D A A M A w g A A A A I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i p A A A A A A A A F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N z d m t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j k y N j Q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A 6 N T Y 6 M j I u N T I 1 M j U 3 N V o i I C 8 + P E V u d H J 5 I F R 5 c G U 9 I k Z p b G x D b 2 x 1 b W 5 U e X B l c y I g V m F s d W U 9 I n N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z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N 2 a 2 E v Q X V 0 b 1 J l b W 9 2 Z W R D b 2 x 1 b W 5 z M S 5 7 Q 2 9 s d W 1 u M S w w f S Z x d W 9 0 O y w m c X V v d D t T Z W N 0 a W 9 u M S 9 j c 3 Z r Y S 9 B d X R v U m V t b 3 Z l Z E N v b H V t b n M x L n t D b 2 x 1 b W 4 y L D F 9 J n F 1 b 3 Q 7 L C Z x d W 9 0 O 1 N l Y 3 R p b 2 4 x L 2 N z d m t h L 0 F 1 d G 9 S Z W 1 v d m V k Q 2 9 s d W 1 u c z E u e 0 N v b H V t b j M s M n 0 m c X V v d D s s J n F 1 b 3 Q 7 U 2 V j d G l v b j E v Y 3 N 2 a 2 E v Q X V 0 b 1 J l b W 9 2 Z W R D b 2 x 1 b W 5 z M S 5 7 Q 2 9 s d W 1 u N C w z f S Z x d W 9 0 O y w m c X V v d D t T Z W N 0 a W 9 u M S 9 j c 3 Z r Y S 9 B d X R v U m V t b 3 Z l Z E N v b H V t b n M x L n t D b 2 x 1 b W 4 1 L D R 9 J n F 1 b 3 Q 7 L C Z x d W 9 0 O 1 N l Y 3 R p b 2 4 x L 2 N z d m t h L 0 F 1 d G 9 S Z W 1 v d m V k Q 2 9 s d W 1 u c z E u e 0 N v b H V t b j Y s N X 0 m c X V v d D s s J n F 1 b 3 Q 7 U 2 V j d G l v b j E v Y 3 N 2 a 2 E v Q X V 0 b 1 J l b W 9 2 Z W R D b 2 x 1 b W 5 z M S 5 7 Q 2 9 s d W 1 u N y w 2 f S Z x d W 9 0 O y w m c X V v d D t T Z W N 0 a W 9 u M S 9 j c 3 Z r Y S 9 B d X R v U m V t b 3 Z l Z E N v b H V t b n M x L n t D b 2 x 1 b W 4 4 L D d 9 J n F 1 b 3 Q 7 L C Z x d W 9 0 O 1 N l Y 3 R p b 2 4 x L 2 N z d m t h L 0 F 1 d G 9 S Z W 1 v d m V k Q 2 9 s d W 1 u c z E u e 0 N v b H V t b j k s O H 0 m c X V v d D s s J n F 1 b 3 Q 7 U 2 V j d G l v b j E v Y 3 N 2 a 2 E v Q X V 0 b 1 J l b W 9 2 Z W R D b 2 x 1 b W 5 z M S 5 7 Q 2 9 s d W 1 u M T A s O X 0 m c X V v d D s s J n F 1 b 3 Q 7 U 2 V j d G l v b j E v Y 3 N 2 a 2 E v Q X V 0 b 1 J l b W 9 2 Z W R D b 2 x 1 b W 5 z M S 5 7 Q 2 9 s d W 1 u M T E s M T B 9 J n F 1 b 3 Q 7 L C Z x d W 9 0 O 1 N l Y 3 R p b 2 4 x L 2 N z d m t h L 0 F 1 d G 9 S Z W 1 v d m V k Q 2 9 s d W 1 u c z E u e 0 N v b H V t b j E y L D E x f S Z x d W 9 0 O y w m c X V v d D t T Z W N 0 a W 9 u M S 9 j c 3 Z r Y S 9 B d X R v U m V t b 3 Z l Z E N v b H V t b n M x L n t D b 2 x 1 b W 4 x M y w x M n 0 m c X V v d D s s J n F 1 b 3 Q 7 U 2 V j d G l v b j E v Y 3 N 2 a 2 E v Q X V 0 b 1 J l b W 9 2 Z W R D b 2 x 1 b W 5 z M S 5 7 Q 2 9 s d W 1 u M T Q s M T N 9 J n F 1 b 3 Q 7 L C Z x d W 9 0 O 1 N l Y 3 R p b 2 4 x L 2 N z d m t h L 0 F 1 d G 9 S Z W 1 v d m V k Q 2 9 s d W 1 u c z E u e 0 N v b H V t b j E 1 L D E 0 f S Z x d W 9 0 O y w m c X V v d D t T Z W N 0 a W 9 u M S 9 j c 3 Z r Y S 9 B d X R v U m V t b 3 Z l Z E N v b H V t b n M x L n t D b 2 x 1 b W 4 x N i w x N X 0 m c X V v d D s s J n F 1 b 3 Q 7 U 2 V j d G l v b j E v Y 3 N 2 a 2 E v Q X V 0 b 1 J l b W 9 2 Z W R D b 2 x 1 b W 5 z M S 5 7 Q 2 9 s d W 1 u M T c s M T Z 9 J n F 1 b 3 Q 7 L C Z x d W 9 0 O 1 N l Y 3 R p b 2 4 x L 2 N z d m t h L 0 F 1 d G 9 S Z W 1 v d m V k Q 2 9 s d W 1 u c z E u e 0 N v b H V t b j E 4 L D E 3 f S Z x d W 9 0 O y w m c X V v d D t T Z W N 0 a W 9 u M S 9 j c 3 Z r Y S 9 B d X R v U m V t b 3 Z l Z E N v b H V t b n M x L n t D b 2 x 1 b W 4 x O S w x O H 0 m c X V v d D s s J n F 1 b 3 Q 7 U 2 V j d G l v b j E v Y 3 N 2 a 2 E v Q X V 0 b 1 J l b W 9 2 Z W R D b 2 x 1 b W 5 z M S 5 7 Q 2 9 s d W 1 u M j A s M T l 9 J n F 1 b 3 Q 7 L C Z x d W 9 0 O 1 N l Y 3 R p b 2 4 x L 2 N z d m t h L 0 F 1 d G 9 S Z W 1 v d m V k Q 2 9 s d W 1 u c z E u e 0 N v b H V t b j I x L D I w f S Z x d W 9 0 O y w m c X V v d D t T Z W N 0 a W 9 u M S 9 j c 3 Z r Y S 9 B d X R v U m V t b 3 Z l Z E N v b H V t b n M x L n t D b 2 x 1 b W 4 y M i w y M X 0 m c X V v d D s s J n F 1 b 3 Q 7 U 2 V j d G l v b j E v Y 3 N 2 a 2 E v Q X V 0 b 1 J l b W 9 2 Z W R D b 2 x 1 b W 5 z M S 5 7 Q 2 9 s d W 1 u M j M s M j J 9 J n F 1 b 3 Q 7 L C Z x d W 9 0 O 1 N l Y 3 R p b 2 4 x L 2 N z d m t h L 0 F 1 d G 9 S Z W 1 v d m V k Q 2 9 s d W 1 u c z E u e 0 N v b H V t b j I 0 L D I z f S Z x d W 9 0 O y w m c X V v d D t T Z W N 0 a W 9 u M S 9 j c 3 Z r Y S 9 B d X R v U m V t b 3 Z l Z E N v b H V t b n M x L n t D b 2 x 1 b W 4 y N S w y N H 0 m c X V v d D s s J n F 1 b 3 Q 7 U 2 V j d G l v b j E v Y 3 N 2 a 2 E v Q X V 0 b 1 J l b W 9 2 Z W R D b 2 x 1 b W 5 z M S 5 7 Q 2 9 s d W 1 u M j Y s M j V 9 J n F 1 b 3 Q 7 L C Z x d W 9 0 O 1 N l Y 3 R p b 2 4 x L 2 N z d m t h L 0 F 1 d G 9 S Z W 1 v d m V k Q 2 9 s d W 1 u c z E u e 0 N v b H V t b j I 3 L D I 2 f S Z x d W 9 0 O y w m c X V v d D t T Z W N 0 a W 9 u M S 9 j c 3 Z r Y S 9 B d X R v U m V t b 3 Z l Z E N v b H V t b n M x L n t D b 2 x 1 b W 4 y O C w y N 3 0 m c X V v d D s s J n F 1 b 3 Q 7 U 2 V j d G l v b j E v Y 3 N 2 a 2 E v Q X V 0 b 1 J l b W 9 2 Z W R D b 2 x 1 b W 5 z M S 5 7 Q 2 9 s d W 1 u M j k s M j h 9 J n F 1 b 3 Q 7 L C Z x d W 9 0 O 1 N l Y 3 R p b 2 4 x L 2 N z d m t h L 0 F 1 d G 9 S Z W 1 v d m V k Q 2 9 s d W 1 u c z E u e 0 N v b H V t b j M w L D I 5 f S Z x d W 9 0 O y w m c X V v d D t T Z W N 0 a W 9 u M S 9 j c 3 Z r Y S 9 B d X R v U m V t b 3 Z l Z E N v b H V t b n M x L n t D b 2 x 1 b W 4 z M S w z M H 0 m c X V v d D s s J n F 1 b 3 Q 7 U 2 V j d G l v b j E v Y 3 N 2 a 2 E v Q X V 0 b 1 J l b W 9 2 Z W R D b 2 x 1 b W 5 z M S 5 7 Q 2 9 s d W 1 u M z I s M z F 9 J n F 1 b 3 Q 7 L C Z x d W 9 0 O 1 N l Y 3 R p b 2 4 x L 2 N z d m t h L 0 F 1 d G 9 S Z W 1 v d m V k Q 2 9 s d W 1 u c z E u e 0 N v b H V t b j M z L D M y f S Z x d W 9 0 O y w m c X V v d D t T Z W N 0 a W 9 u M S 9 j c 3 Z r Y S 9 B d X R v U m V t b 3 Z l Z E N v b H V t b n M x L n t D b 2 x 1 b W 4 z N C w z M 3 0 m c X V v d D s s J n F 1 b 3 Q 7 U 2 V j d G l v b j E v Y 3 N 2 a 2 E v Q X V 0 b 1 J l b W 9 2 Z W R D b 2 x 1 b W 5 z M S 5 7 Q 2 9 s d W 1 u M z U s M z R 9 J n F 1 b 3 Q 7 L C Z x d W 9 0 O 1 N l Y 3 R p b 2 4 x L 2 N z d m t h L 0 F 1 d G 9 S Z W 1 v d m V k Q 2 9 s d W 1 u c z E u e 0 N v b H V t b j M 2 L D M 1 f S Z x d W 9 0 O y w m c X V v d D t T Z W N 0 a W 9 u M S 9 j c 3 Z r Y S 9 B d X R v U m V t b 3 Z l Z E N v b H V t b n M x L n t D b 2 x 1 b W 4 z N y w z N n 0 m c X V v d D s s J n F 1 b 3 Q 7 U 2 V j d G l v b j E v Y 3 N 2 a 2 E v Q X V 0 b 1 J l b W 9 2 Z W R D b 2 x 1 b W 5 z M S 5 7 Q 2 9 s d W 1 u M z g s M z d 9 J n F 1 b 3 Q 7 L C Z x d W 9 0 O 1 N l Y 3 R p b 2 4 x L 2 N z d m t h L 0 F 1 d G 9 S Z W 1 v d m V k Q 2 9 s d W 1 u c z E u e 0 N v b H V t b j M 5 L D M 4 f S Z x d W 9 0 O 1 0 s J n F 1 b 3 Q 7 Q 2 9 s d W 1 u Q 2 9 1 b n Q m c X V v d D s 6 M z k s J n F 1 b 3 Q 7 S 2 V 5 Q 2 9 s d W 1 u T m F t Z X M m c X V v d D s 6 W 1 0 s J n F 1 b 3 Q 7 Q 2 9 s d W 1 u S W R l b n R p d G l l c y Z x d W 9 0 O z p b J n F 1 b 3 Q 7 U 2 V j d G l v b j E v Y 3 N 2 a 2 E v Q X V 0 b 1 J l b W 9 2 Z W R D b 2 x 1 b W 5 z M S 5 7 Q 2 9 s d W 1 u M S w w f S Z x d W 9 0 O y w m c X V v d D t T Z W N 0 a W 9 u M S 9 j c 3 Z r Y S 9 B d X R v U m V t b 3 Z l Z E N v b H V t b n M x L n t D b 2 x 1 b W 4 y L D F 9 J n F 1 b 3 Q 7 L C Z x d W 9 0 O 1 N l Y 3 R p b 2 4 x L 2 N z d m t h L 0 F 1 d G 9 S Z W 1 v d m V k Q 2 9 s d W 1 u c z E u e 0 N v b H V t b j M s M n 0 m c X V v d D s s J n F 1 b 3 Q 7 U 2 V j d G l v b j E v Y 3 N 2 a 2 E v Q X V 0 b 1 J l b W 9 2 Z W R D b 2 x 1 b W 5 z M S 5 7 Q 2 9 s d W 1 u N C w z f S Z x d W 9 0 O y w m c X V v d D t T Z W N 0 a W 9 u M S 9 j c 3 Z r Y S 9 B d X R v U m V t b 3 Z l Z E N v b H V t b n M x L n t D b 2 x 1 b W 4 1 L D R 9 J n F 1 b 3 Q 7 L C Z x d W 9 0 O 1 N l Y 3 R p b 2 4 x L 2 N z d m t h L 0 F 1 d G 9 S Z W 1 v d m V k Q 2 9 s d W 1 u c z E u e 0 N v b H V t b j Y s N X 0 m c X V v d D s s J n F 1 b 3 Q 7 U 2 V j d G l v b j E v Y 3 N 2 a 2 E v Q X V 0 b 1 J l b W 9 2 Z W R D b 2 x 1 b W 5 z M S 5 7 Q 2 9 s d W 1 u N y w 2 f S Z x d W 9 0 O y w m c X V v d D t T Z W N 0 a W 9 u M S 9 j c 3 Z r Y S 9 B d X R v U m V t b 3 Z l Z E N v b H V t b n M x L n t D b 2 x 1 b W 4 4 L D d 9 J n F 1 b 3 Q 7 L C Z x d W 9 0 O 1 N l Y 3 R p b 2 4 x L 2 N z d m t h L 0 F 1 d G 9 S Z W 1 v d m V k Q 2 9 s d W 1 u c z E u e 0 N v b H V t b j k s O H 0 m c X V v d D s s J n F 1 b 3 Q 7 U 2 V j d G l v b j E v Y 3 N 2 a 2 E v Q X V 0 b 1 J l b W 9 2 Z W R D b 2 x 1 b W 5 z M S 5 7 Q 2 9 s d W 1 u M T A s O X 0 m c X V v d D s s J n F 1 b 3 Q 7 U 2 V j d G l v b j E v Y 3 N 2 a 2 E v Q X V 0 b 1 J l b W 9 2 Z W R D b 2 x 1 b W 5 z M S 5 7 Q 2 9 s d W 1 u M T E s M T B 9 J n F 1 b 3 Q 7 L C Z x d W 9 0 O 1 N l Y 3 R p b 2 4 x L 2 N z d m t h L 0 F 1 d G 9 S Z W 1 v d m V k Q 2 9 s d W 1 u c z E u e 0 N v b H V t b j E y L D E x f S Z x d W 9 0 O y w m c X V v d D t T Z W N 0 a W 9 u M S 9 j c 3 Z r Y S 9 B d X R v U m V t b 3 Z l Z E N v b H V t b n M x L n t D b 2 x 1 b W 4 x M y w x M n 0 m c X V v d D s s J n F 1 b 3 Q 7 U 2 V j d G l v b j E v Y 3 N 2 a 2 E v Q X V 0 b 1 J l b W 9 2 Z W R D b 2 x 1 b W 5 z M S 5 7 Q 2 9 s d W 1 u M T Q s M T N 9 J n F 1 b 3 Q 7 L C Z x d W 9 0 O 1 N l Y 3 R p b 2 4 x L 2 N z d m t h L 0 F 1 d G 9 S Z W 1 v d m V k Q 2 9 s d W 1 u c z E u e 0 N v b H V t b j E 1 L D E 0 f S Z x d W 9 0 O y w m c X V v d D t T Z W N 0 a W 9 u M S 9 j c 3 Z r Y S 9 B d X R v U m V t b 3 Z l Z E N v b H V t b n M x L n t D b 2 x 1 b W 4 x N i w x N X 0 m c X V v d D s s J n F 1 b 3 Q 7 U 2 V j d G l v b j E v Y 3 N 2 a 2 E v Q X V 0 b 1 J l b W 9 2 Z W R D b 2 x 1 b W 5 z M S 5 7 Q 2 9 s d W 1 u M T c s M T Z 9 J n F 1 b 3 Q 7 L C Z x d W 9 0 O 1 N l Y 3 R p b 2 4 x L 2 N z d m t h L 0 F 1 d G 9 S Z W 1 v d m V k Q 2 9 s d W 1 u c z E u e 0 N v b H V t b j E 4 L D E 3 f S Z x d W 9 0 O y w m c X V v d D t T Z W N 0 a W 9 u M S 9 j c 3 Z r Y S 9 B d X R v U m V t b 3 Z l Z E N v b H V t b n M x L n t D b 2 x 1 b W 4 x O S w x O H 0 m c X V v d D s s J n F 1 b 3 Q 7 U 2 V j d G l v b j E v Y 3 N 2 a 2 E v Q X V 0 b 1 J l b W 9 2 Z W R D b 2 x 1 b W 5 z M S 5 7 Q 2 9 s d W 1 u M j A s M T l 9 J n F 1 b 3 Q 7 L C Z x d W 9 0 O 1 N l Y 3 R p b 2 4 x L 2 N z d m t h L 0 F 1 d G 9 S Z W 1 v d m V k Q 2 9 s d W 1 u c z E u e 0 N v b H V t b j I x L D I w f S Z x d W 9 0 O y w m c X V v d D t T Z W N 0 a W 9 u M S 9 j c 3 Z r Y S 9 B d X R v U m V t b 3 Z l Z E N v b H V t b n M x L n t D b 2 x 1 b W 4 y M i w y M X 0 m c X V v d D s s J n F 1 b 3 Q 7 U 2 V j d G l v b j E v Y 3 N 2 a 2 E v Q X V 0 b 1 J l b W 9 2 Z W R D b 2 x 1 b W 5 z M S 5 7 Q 2 9 s d W 1 u M j M s M j J 9 J n F 1 b 3 Q 7 L C Z x d W 9 0 O 1 N l Y 3 R p b 2 4 x L 2 N z d m t h L 0 F 1 d G 9 S Z W 1 v d m V k Q 2 9 s d W 1 u c z E u e 0 N v b H V t b j I 0 L D I z f S Z x d W 9 0 O y w m c X V v d D t T Z W N 0 a W 9 u M S 9 j c 3 Z r Y S 9 B d X R v U m V t b 3 Z l Z E N v b H V t b n M x L n t D b 2 x 1 b W 4 y N S w y N H 0 m c X V v d D s s J n F 1 b 3 Q 7 U 2 V j d G l v b j E v Y 3 N 2 a 2 E v Q X V 0 b 1 J l b W 9 2 Z W R D b 2 x 1 b W 5 z M S 5 7 Q 2 9 s d W 1 u M j Y s M j V 9 J n F 1 b 3 Q 7 L C Z x d W 9 0 O 1 N l Y 3 R p b 2 4 x L 2 N z d m t h L 0 F 1 d G 9 S Z W 1 v d m V k Q 2 9 s d W 1 u c z E u e 0 N v b H V t b j I 3 L D I 2 f S Z x d W 9 0 O y w m c X V v d D t T Z W N 0 a W 9 u M S 9 j c 3 Z r Y S 9 B d X R v U m V t b 3 Z l Z E N v b H V t b n M x L n t D b 2 x 1 b W 4 y O C w y N 3 0 m c X V v d D s s J n F 1 b 3 Q 7 U 2 V j d G l v b j E v Y 3 N 2 a 2 E v Q X V 0 b 1 J l b W 9 2 Z W R D b 2 x 1 b W 5 z M S 5 7 Q 2 9 s d W 1 u M j k s M j h 9 J n F 1 b 3 Q 7 L C Z x d W 9 0 O 1 N l Y 3 R p b 2 4 x L 2 N z d m t h L 0 F 1 d G 9 S Z W 1 v d m V k Q 2 9 s d W 1 u c z E u e 0 N v b H V t b j M w L D I 5 f S Z x d W 9 0 O y w m c X V v d D t T Z W N 0 a W 9 u M S 9 j c 3 Z r Y S 9 B d X R v U m V t b 3 Z l Z E N v b H V t b n M x L n t D b 2 x 1 b W 4 z M S w z M H 0 m c X V v d D s s J n F 1 b 3 Q 7 U 2 V j d G l v b j E v Y 3 N 2 a 2 E v Q X V 0 b 1 J l b W 9 2 Z W R D b 2 x 1 b W 5 z M S 5 7 Q 2 9 s d W 1 u M z I s M z F 9 J n F 1 b 3 Q 7 L C Z x d W 9 0 O 1 N l Y 3 R p b 2 4 x L 2 N z d m t h L 0 F 1 d G 9 S Z W 1 v d m V k Q 2 9 s d W 1 u c z E u e 0 N v b H V t b j M z L D M y f S Z x d W 9 0 O y w m c X V v d D t T Z W N 0 a W 9 u M S 9 j c 3 Z r Y S 9 B d X R v U m V t b 3 Z l Z E N v b H V t b n M x L n t D b 2 x 1 b W 4 z N C w z M 3 0 m c X V v d D s s J n F 1 b 3 Q 7 U 2 V j d G l v b j E v Y 3 N 2 a 2 E v Q X V 0 b 1 J l b W 9 2 Z W R D b 2 x 1 b W 5 z M S 5 7 Q 2 9 s d W 1 u M z U s M z R 9 J n F 1 b 3 Q 7 L C Z x d W 9 0 O 1 N l Y 3 R p b 2 4 x L 2 N z d m t h L 0 F 1 d G 9 S Z W 1 v d m V k Q 2 9 s d W 1 u c z E u e 0 N v b H V t b j M 2 L D M 1 f S Z x d W 9 0 O y w m c X V v d D t T Z W N 0 a W 9 u M S 9 j c 3 Z r Y S 9 B d X R v U m V t b 3 Z l Z E N v b H V t b n M x L n t D b 2 x 1 b W 4 z N y w z N n 0 m c X V v d D s s J n F 1 b 3 Q 7 U 2 V j d G l v b j E v Y 3 N 2 a 2 E v Q X V 0 b 1 J l b W 9 2 Z W R D b 2 x 1 b W 5 z M S 5 7 Q 2 9 s d W 1 u M z g s M z d 9 J n F 1 b 3 Q 7 L C Z x d W 9 0 O 1 N l Y 3 R p b 2 4 x L 2 N z d m t h L 0 F 1 d G 9 S Z W 1 v d m V k Q 2 9 s d W 1 u c z E u e 0 N v b H V t b j M 5 L D M 4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j c 3 Z r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5 N T Q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E 6 N D U 6 M z Y u O D I y M j g 2 M V o i I C 8 + P E V u d H J 5 I F R 5 c G U 9 I k Z p b G x D b 2 x 1 b W 5 U e X B l c y I g V m F s d W U 9 I n N C Z 1 l H Q m d Z R 0 J n W U d C Z 1 l H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y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N 2 a 2 E g K D I p L 0 F 1 d G 9 S Z W 1 v d m V k Q 2 9 s d W 1 u c z E u e 0 N v b H V t b j E s M H 0 m c X V v d D s s J n F 1 b 3 Q 7 U 2 V j d G l v b j E v Y 3 N 2 a 2 E g K D I p L 0 F 1 d G 9 S Z W 1 v d m V k Q 2 9 s d W 1 u c z E u e 0 N v b H V t b j I s M X 0 m c X V v d D s s J n F 1 b 3 Q 7 U 2 V j d G l v b j E v Y 3 N 2 a 2 E g K D I p L 0 F 1 d G 9 S Z W 1 v d m V k Q 2 9 s d W 1 u c z E u e 0 N v b H V t b j M s M n 0 m c X V v d D s s J n F 1 b 3 Q 7 U 2 V j d G l v b j E v Y 3 N 2 a 2 E g K D I p L 0 F 1 d G 9 S Z W 1 v d m V k Q 2 9 s d W 1 u c z E u e 0 N v b H V t b j Q s M 3 0 m c X V v d D s s J n F 1 b 3 Q 7 U 2 V j d G l v b j E v Y 3 N 2 a 2 E g K D I p L 0 F 1 d G 9 S Z W 1 v d m V k Q 2 9 s d W 1 u c z E u e 0 N v b H V t b j U s N H 0 m c X V v d D s s J n F 1 b 3 Q 7 U 2 V j d G l v b j E v Y 3 N 2 a 2 E g K D I p L 0 F 1 d G 9 S Z W 1 v d m V k Q 2 9 s d W 1 u c z E u e 0 N v b H V t b j Y s N X 0 m c X V v d D s s J n F 1 b 3 Q 7 U 2 V j d G l v b j E v Y 3 N 2 a 2 E g K D I p L 0 F 1 d G 9 S Z W 1 v d m V k Q 2 9 s d W 1 u c z E u e 0 N v b H V t b j c s N n 0 m c X V v d D s s J n F 1 b 3 Q 7 U 2 V j d G l v b j E v Y 3 N 2 a 2 E g K D I p L 0 F 1 d G 9 S Z W 1 v d m V k Q 2 9 s d W 1 u c z E u e 0 N v b H V t b j g s N 3 0 m c X V v d D s s J n F 1 b 3 Q 7 U 2 V j d G l v b j E v Y 3 N 2 a 2 E g K D I p L 0 F 1 d G 9 S Z W 1 v d m V k Q 2 9 s d W 1 u c z E u e 0 N v b H V t b j k s O H 0 m c X V v d D s s J n F 1 b 3 Q 7 U 2 V j d G l v b j E v Y 3 N 2 a 2 E g K D I p L 0 F 1 d G 9 S Z W 1 v d m V k Q 2 9 s d W 1 u c z E u e 0 N v b H V t b j E w L D l 9 J n F 1 b 3 Q 7 L C Z x d W 9 0 O 1 N l Y 3 R p b 2 4 x L 2 N z d m t h I C g y K S 9 B d X R v U m V t b 3 Z l Z E N v b H V t b n M x L n t D b 2 x 1 b W 4 x M S w x M H 0 m c X V v d D s s J n F 1 b 3 Q 7 U 2 V j d G l v b j E v Y 3 N 2 a 2 E g K D I p L 0 F 1 d G 9 S Z W 1 v d m V k Q 2 9 s d W 1 u c z E u e 0 N v b H V t b j E y L D E x f S Z x d W 9 0 O y w m c X V v d D t T Z W N 0 a W 9 u M S 9 j c 3 Z r Y S A o M i k v Q X V 0 b 1 J l b W 9 2 Z W R D b 2 x 1 b W 5 z M S 5 7 Q 2 9 s d W 1 u M T M s M T J 9 J n F 1 b 3 Q 7 L C Z x d W 9 0 O 1 N l Y 3 R p b 2 4 x L 2 N z d m t h I C g y K S 9 B d X R v U m V t b 3 Z l Z E N v b H V t b n M x L n t D b 2 x 1 b W 4 x N C w x M 3 0 m c X V v d D s s J n F 1 b 3 Q 7 U 2 V j d G l v b j E v Y 3 N 2 a 2 E g K D I p L 0 F 1 d G 9 S Z W 1 v d m V k Q 2 9 s d W 1 u c z E u e 0 N v b H V t b j E 1 L D E 0 f S Z x d W 9 0 O y w m c X V v d D t T Z W N 0 a W 9 u M S 9 j c 3 Z r Y S A o M i k v Q X V 0 b 1 J l b W 9 2 Z W R D b 2 x 1 b W 5 z M S 5 7 Q 2 9 s d W 1 u M T Y s M T V 9 J n F 1 b 3 Q 7 L C Z x d W 9 0 O 1 N l Y 3 R p b 2 4 x L 2 N z d m t h I C g y K S 9 B d X R v U m V t b 3 Z l Z E N v b H V t b n M x L n t D b 2 x 1 b W 4 x N y w x N n 0 m c X V v d D s s J n F 1 b 3 Q 7 U 2 V j d G l v b j E v Y 3 N 2 a 2 E g K D I p L 0 F 1 d G 9 S Z W 1 v d m V k Q 2 9 s d W 1 u c z E u e 0 N v b H V t b j E 4 L D E 3 f S Z x d W 9 0 O y w m c X V v d D t T Z W N 0 a W 9 u M S 9 j c 3 Z r Y S A o M i k v Q X V 0 b 1 J l b W 9 2 Z W R D b 2 x 1 b W 5 z M S 5 7 Q 2 9 s d W 1 u M T k s M T h 9 J n F 1 b 3 Q 7 L C Z x d W 9 0 O 1 N l Y 3 R p b 2 4 x L 2 N z d m t h I C g y K S 9 B d X R v U m V t b 3 Z l Z E N v b H V t b n M x L n t D b 2 x 1 b W 4 y M C w x O X 0 m c X V v d D s s J n F 1 b 3 Q 7 U 2 V j d G l v b j E v Y 3 N 2 a 2 E g K D I p L 0 F 1 d G 9 S Z W 1 v d m V k Q 2 9 s d W 1 u c z E u e 0 N v b H V t b j I x L D I w f S Z x d W 9 0 O y w m c X V v d D t T Z W N 0 a W 9 u M S 9 j c 3 Z r Y S A o M i k v Q X V 0 b 1 J l b W 9 2 Z W R D b 2 x 1 b W 5 z M S 5 7 Q 2 9 s d W 1 u M j I s M j F 9 J n F 1 b 3 Q 7 L C Z x d W 9 0 O 1 N l Y 3 R p b 2 4 x L 2 N z d m t h I C g y K S 9 B d X R v U m V t b 3 Z l Z E N v b H V t b n M x L n t D b 2 x 1 b W 4 y M y w y M n 0 m c X V v d D s s J n F 1 b 3 Q 7 U 2 V j d G l v b j E v Y 3 N 2 a 2 E g K D I p L 0 F 1 d G 9 S Z W 1 v d m V k Q 2 9 s d W 1 u c z E u e 0 N v b H V t b j I 0 L D I z f S Z x d W 9 0 O y w m c X V v d D t T Z W N 0 a W 9 u M S 9 j c 3 Z r Y S A o M i k v Q X V 0 b 1 J l b W 9 2 Z W R D b 2 x 1 b W 5 z M S 5 7 Q 2 9 s d W 1 u M j U s M j R 9 J n F 1 b 3 Q 7 L C Z x d W 9 0 O 1 N l Y 3 R p b 2 4 x L 2 N z d m t h I C g y K S 9 B d X R v U m V t b 3 Z l Z E N v b H V t b n M x L n t D b 2 x 1 b W 4 y N i w y N X 0 m c X V v d D s s J n F 1 b 3 Q 7 U 2 V j d G l v b j E v Y 3 N 2 a 2 E g K D I p L 0 F 1 d G 9 S Z W 1 v d m V k Q 2 9 s d W 1 u c z E u e 0 N v b H V t b j I 3 L D I 2 f S Z x d W 9 0 O y w m c X V v d D t T Z W N 0 a W 9 u M S 9 j c 3 Z r Y S A o M i k v Q X V 0 b 1 J l b W 9 2 Z W R D b 2 x 1 b W 5 z M S 5 7 Q 2 9 s d W 1 u M j g s M j d 9 J n F 1 b 3 Q 7 L C Z x d W 9 0 O 1 N l Y 3 R p b 2 4 x L 2 N z d m t h I C g y K S 9 B d X R v U m V t b 3 Z l Z E N v b H V t b n M x L n t D b 2 x 1 b W 4 y O S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2 N z d m t h I C g y K S 9 B d X R v U m V t b 3 Z l Z E N v b H V t b n M x L n t D b 2 x 1 b W 4 x L D B 9 J n F 1 b 3 Q 7 L C Z x d W 9 0 O 1 N l Y 3 R p b 2 4 x L 2 N z d m t h I C g y K S 9 B d X R v U m V t b 3 Z l Z E N v b H V t b n M x L n t D b 2 x 1 b W 4 y L D F 9 J n F 1 b 3 Q 7 L C Z x d W 9 0 O 1 N l Y 3 R p b 2 4 x L 2 N z d m t h I C g y K S 9 B d X R v U m V t b 3 Z l Z E N v b H V t b n M x L n t D b 2 x 1 b W 4 z L D J 9 J n F 1 b 3 Q 7 L C Z x d W 9 0 O 1 N l Y 3 R p b 2 4 x L 2 N z d m t h I C g y K S 9 B d X R v U m V t b 3 Z l Z E N v b H V t b n M x L n t D b 2 x 1 b W 4 0 L D N 9 J n F 1 b 3 Q 7 L C Z x d W 9 0 O 1 N l Y 3 R p b 2 4 x L 2 N z d m t h I C g y K S 9 B d X R v U m V t b 3 Z l Z E N v b H V t b n M x L n t D b 2 x 1 b W 4 1 L D R 9 J n F 1 b 3 Q 7 L C Z x d W 9 0 O 1 N l Y 3 R p b 2 4 x L 2 N z d m t h I C g y K S 9 B d X R v U m V t b 3 Z l Z E N v b H V t b n M x L n t D b 2 x 1 b W 4 2 L D V 9 J n F 1 b 3 Q 7 L C Z x d W 9 0 O 1 N l Y 3 R p b 2 4 x L 2 N z d m t h I C g y K S 9 B d X R v U m V t b 3 Z l Z E N v b H V t b n M x L n t D b 2 x 1 b W 4 3 L D Z 9 J n F 1 b 3 Q 7 L C Z x d W 9 0 O 1 N l Y 3 R p b 2 4 x L 2 N z d m t h I C g y K S 9 B d X R v U m V t b 3 Z l Z E N v b H V t b n M x L n t D b 2 x 1 b W 4 4 L D d 9 J n F 1 b 3 Q 7 L C Z x d W 9 0 O 1 N l Y 3 R p b 2 4 x L 2 N z d m t h I C g y K S 9 B d X R v U m V t b 3 Z l Z E N v b H V t b n M x L n t D b 2 x 1 b W 4 5 L D h 9 J n F 1 b 3 Q 7 L C Z x d W 9 0 O 1 N l Y 3 R p b 2 4 x L 2 N z d m t h I C g y K S 9 B d X R v U m V t b 3 Z l Z E N v b H V t b n M x L n t D b 2 x 1 b W 4 x M C w 5 f S Z x d W 9 0 O y w m c X V v d D t T Z W N 0 a W 9 u M S 9 j c 3 Z r Y S A o M i k v Q X V 0 b 1 J l b W 9 2 Z W R D b 2 x 1 b W 5 z M S 5 7 Q 2 9 s d W 1 u M T E s M T B 9 J n F 1 b 3 Q 7 L C Z x d W 9 0 O 1 N l Y 3 R p b 2 4 x L 2 N z d m t h I C g y K S 9 B d X R v U m V t b 3 Z l Z E N v b H V t b n M x L n t D b 2 x 1 b W 4 x M i w x M X 0 m c X V v d D s s J n F 1 b 3 Q 7 U 2 V j d G l v b j E v Y 3 N 2 a 2 E g K D I p L 0 F 1 d G 9 S Z W 1 v d m V k Q 2 9 s d W 1 u c z E u e 0 N v b H V t b j E z L D E y f S Z x d W 9 0 O y w m c X V v d D t T Z W N 0 a W 9 u M S 9 j c 3 Z r Y S A o M i k v Q X V 0 b 1 J l b W 9 2 Z W R D b 2 x 1 b W 5 z M S 5 7 Q 2 9 s d W 1 u M T Q s M T N 9 J n F 1 b 3 Q 7 L C Z x d W 9 0 O 1 N l Y 3 R p b 2 4 x L 2 N z d m t h I C g y K S 9 B d X R v U m V t b 3 Z l Z E N v b H V t b n M x L n t D b 2 x 1 b W 4 x N S w x N H 0 m c X V v d D s s J n F 1 b 3 Q 7 U 2 V j d G l v b j E v Y 3 N 2 a 2 E g K D I p L 0 F 1 d G 9 S Z W 1 v d m V k Q 2 9 s d W 1 u c z E u e 0 N v b H V t b j E 2 L D E 1 f S Z x d W 9 0 O y w m c X V v d D t T Z W N 0 a W 9 u M S 9 j c 3 Z r Y S A o M i k v Q X V 0 b 1 J l b W 9 2 Z W R D b 2 x 1 b W 5 z M S 5 7 Q 2 9 s d W 1 u M T c s M T Z 9 J n F 1 b 3 Q 7 L C Z x d W 9 0 O 1 N l Y 3 R p b 2 4 x L 2 N z d m t h I C g y K S 9 B d X R v U m V t b 3 Z l Z E N v b H V t b n M x L n t D b 2 x 1 b W 4 x O C w x N 3 0 m c X V v d D s s J n F 1 b 3 Q 7 U 2 V j d G l v b j E v Y 3 N 2 a 2 E g K D I p L 0 F 1 d G 9 S Z W 1 v d m V k Q 2 9 s d W 1 u c z E u e 0 N v b H V t b j E 5 L D E 4 f S Z x d W 9 0 O y w m c X V v d D t T Z W N 0 a W 9 u M S 9 j c 3 Z r Y S A o M i k v Q X V 0 b 1 J l b W 9 2 Z W R D b 2 x 1 b W 5 z M S 5 7 Q 2 9 s d W 1 u M j A s M T l 9 J n F 1 b 3 Q 7 L C Z x d W 9 0 O 1 N l Y 3 R p b 2 4 x L 2 N z d m t h I C g y K S 9 B d X R v U m V t b 3 Z l Z E N v b H V t b n M x L n t D b 2 x 1 b W 4 y M S w y M H 0 m c X V v d D s s J n F 1 b 3 Q 7 U 2 V j d G l v b j E v Y 3 N 2 a 2 E g K D I p L 0 F 1 d G 9 S Z W 1 v d m V k Q 2 9 s d W 1 u c z E u e 0 N v b H V t b j I y L D I x f S Z x d W 9 0 O y w m c X V v d D t T Z W N 0 a W 9 u M S 9 j c 3 Z r Y S A o M i k v Q X V 0 b 1 J l b W 9 2 Z W R D b 2 x 1 b W 5 z M S 5 7 Q 2 9 s d W 1 u M j M s M j J 9 J n F 1 b 3 Q 7 L C Z x d W 9 0 O 1 N l Y 3 R p b 2 4 x L 2 N z d m t h I C g y K S 9 B d X R v U m V t b 3 Z l Z E N v b H V t b n M x L n t D b 2 x 1 b W 4 y N C w y M 3 0 m c X V v d D s s J n F 1 b 3 Q 7 U 2 V j d G l v b j E v Y 3 N 2 a 2 E g K D I p L 0 F 1 d G 9 S Z W 1 v d m V k Q 2 9 s d W 1 u c z E u e 0 N v b H V t b j I 1 L D I 0 f S Z x d W 9 0 O y w m c X V v d D t T Z W N 0 a W 9 u M S 9 j c 3 Z r Y S A o M i k v Q X V 0 b 1 J l b W 9 2 Z W R D b 2 x 1 b W 5 z M S 5 7 Q 2 9 s d W 1 u M j Y s M j V 9 J n F 1 b 3 Q 7 L C Z x d W 9 0 O 1 N l Y 3 R p b 2 4 x L 2 N z d m t h I C g y K S 9 B d X R v U m V t b 3 Z l Z E N v b H V t b n M x L n t D b 2 x 1 b W 4 y N y w y N n 0 m c X V v d D s s J n F 1 b 3 Q 7 U 2 V j d G l v b j E v Y 3 N 2 a 2 E g K D I p L 0 F 1 d G 9 S Z W 1 v d m V k Q 2 9 s d W 1 u c z E u e 0 N v b H V t b j I 4 L D I 3 f S Z x d W 9 0 O y w m c X V v d D t T Z W N 0 a W 9 u M S 9 j c 3 Z r Y S A o M i k v Q X V 0 b 1 J l b W 9 2 Z W R D b 2 x 1 b W 5 z M S 5 7 Q 2 9 s d W 1 u M j k s M j h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l r b 2 5 r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I 0 N j Y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E 6 N T c 6 M z k u M j Q 0 N j I 0 O F o i I C 8 + P E V u d H J 5 I F R 5 c G U 9 I k Z p b G x D b 2 x 1 b W 5 U e X B l c y I g V m F s d W U 9 I n N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a 2 9 u a 2 E v Q X V 0 b 1 J l b W 9 2 Z W R D b 2 x 1 b W 5 z M S 5 7 Q 2 9 s d W 1 u M S w w f S Z x d W 9 0 O y w m c X V v d D t T Z W N 0 a W 9 u M S 9 p a 2 9 u a 2 E v Q X V 0 b 1 J l b W 9 2 Z W R D b 2 x 1 b W 5 z M S 5 7 Q 2 9 s d W 1 u M i w x f S Z x d W 9 0 O y w m c X V v d D t T Z W N 0 a W 9 u M S 9 p a 2 9 u a 2 E v Q X V 0 b 1 J l b W 9 2 Z W R D b 2 x 1 b W 5 z M S 5 7 Q 2 9 s d W 1 u M y w y f S Z x d W 9 0 O y w m c X V v d D t T Z W N 0 a W 9 u M S 9 p a 2 9 u a 2 E v Q X V 0 b 1 J l b W 9 2 Z W R D b 2 x 1 b W 5 z M S 5 7 Q 2 9 s d W 1 u N C w z f S Z x d W 9 0 O y w m c X V v d D t T Z W N 0 a W 9 u M S 9 p a 2 9 u a 2 E v Q X V 0 b 1 J l b W 9 2 Z W R D b 2 x 1 b W 5 z M S 5 7 Q 2 9 s d W 1 u N S w 0 f S Z x d W 9 0 O y w m c X V v d D t T Z W N 0 a W 9 u M S 9 p a 2 9 u a 2 E v Q X V 0 b 1 J l b W 9 2 Z W R D b 2 x 1 b W 5 z M S 5 7 Q 2 9 s d W 1 u N i w 1 f S Z x d W 9 0 O y w m c X V v d D t T Z W N 0 a W 9 u M S 9 p a 2 9 u a 2 E v Q X V 0 b 1 J l b W 9 2 Z W R D b 2 x 1 b W 5 z M S 5 7 Q 2 9 s d W 1 u N y w 2 f S Z x d W 9 0 O y w m c X V v d D t T Z W N 0 a W 9 u M S 9 p a 2 9 u a 2 E v Q X V 0 b 1 J l b W 9 2 Z W R D b 2 x 1 b W 5 z M S 5 7 Q 2 9 s d W 1 u O C w 3 f S Z x d W 9 0 O y w m c X V v d D t T Z W N 0 a W 9 u M S 9 p a 2 9 u a 2 E v Q X V 0 b 1 J l b W 9 2 Z W R D b 2 x 1 b W 5 z M S 5 7 Q 2 9 s d W 1 u O S w 4 f S Z x d W 9 0 O y w m c X V v d D t T Z W N 0 a W 9 u M S 9 p a 2 9 u a 2 E v Q X V 0 b 1 J l b W 9 2 Z W R D b 2 x 1 b W 5 z M S 5 7 Q 2 9 s d W 1 u M T A s O X 0 m c X V v d D s s J n F 1 b 3 Q 7 U 2 V j d G l v b j E v a W t v b m t h L 0 F 1 d G 9 S Z W 1 v d m V k Q 2 9 s d W 1 u c z E u e 0 N v b H V t b j E x L D E w f S Z x d W 9 0 O y w m c X V v d D t T Z W N 0 a W 9 u M S 9 p a 2 9 u a 2 E v Q X V 0 b 1 J l b W 9 2 Z W R D b 2 x 1 b W 5 z M S 5 7 Q 2 9 s d W 1 u M T I s M T F 9 J n F 1 b 3 Q 7 L C Z x d W 9 0 O 1 N l Y 3 R p b 2 4 x L 2 l r b 2 5 r Y S 9 B d X R v U m V t b 3 Z l Z E N v b H V t b n M x L n t D b 2 x 1 b W 4 x M y w x M n 0 m c X V v d D s s J n F 1 b 3 Q 7 U 2 V j d G l v b j E v a W t v b m t h L 0 F 1 d G 9 S Z W 1 v d m V k Q 2 9 s d W 1 u c z E u e 0 N v b H V t b j E 0 L D E z f S Z x d W 9 0 O y w m c X V v d D t T Z W N 0 a W 9 u M S 9 p a 2 9 u a 2 E v Q X V 0 b 1 J l b W 9 2 Z W R D b 2 x 1 b W 5 z M S 5 7 Q 2 9 s d W 1 u M T U s M T R 9 J n F 1 b 3 Q 7 L C Z x d W 9 0 O 1 N l Y 3 R p b 2 4 x L 2 l r b 2 5 r Y S 9 B d X R v U m V t b 3 Z l Z E N v b H V t b n M x L n t D b 2 x 1 b W 4 x N i w x N X 0 m c X V v d D s s J n F 1 b 3 Q 7 U 2 V j d G l v b j E v a W t v b m t h L 0 F 1 d G 9 S Z W 1 v d m V k Q 2 9 s d W 1 u c z E u e 0 N v b H V t b j E 3 L D E 2 f S Z x d W 9 0 O y w m c X V v d D t T Z W N 0 a W 9 u M S 9 p a 2 9 u a 2 E v Q X V 0 b 1 J l b W 9 2 Z W R D b 2 x 1 b W 5 z M S 5 7 Q 2 9 s d W 1 u M T g s M T d 9 J n F 1 b 3 Q 7 L C Z x d W 9 0 O 1 N l Y 3 R p b 2 4 x L 2 l r b 2 5 r Y S 9 B d X R v U m V t b 3 Z l Z E N v b H V t b n M x L n t D b 2 x 1 b W 4 x O S w x O H 0 m c X V v d D s s J n F 1 b 3 Q 7 U 2 V j d G l v b j E v a W t v b m t h L 0 F 1 d G 9 S Z W 1 v d m V k Q 2 9 s d W 1 u c z E u e 0 N v b H V t b j I w L D E 5 f S Z x d W 9 0 O y w m c X V v d D t T Z W N 0 a W 9 u M S 9 p a 2 9 u a 2 E v Q X V 0 b 1 J l b W 9 2 Z W R D b 2 x 1 b W 5 z M S 5 7 Q 2 9 s d W 1 u M j E s M j B 9 J n F 1 b 3 Q 7 L C Z x d W 9 0 O 1 N l Y 3 R p b 2 4 x L 2 l r b 2 5 r Y S 9 B d X R v U m V t b 3 Z l Z E N v b H V t b n M x L n t D b 2 x 1 b W 4 y M i w y M X 0 m c X V v d D s s J n F 1 b 3 Q 7 U 2 V j d G l v b j E v a W t v b m t h L 0 F 1 d G 9 S Z W 1 v d m V k Q 2 9 s d W 1 u c z E u e 0 N v b H V t b j I z L D I y f S Z x d W 9 0 O y w m c X V v d D t T Z W N 0 a W 9 u M S 9 p a 2 9 u a 2 E v Q X V 0 b 1 J l b W 9 2 Z W R D b 2 x 1 b W 5 z M S 5 7 Q 2 9 s d W 1 u M j Q s M j N 9 J n F 1 b 3 Q 7 L C Z x d W 9 0 O 1 N l Y 3 R p b 2 4 x L 2 l r b 2 5 r Y S 9 B d X R v U m V t b 3 Z l Z E N v b H V t b n M x L n t D b 2 x 1 b W 4 y N S w y N H 0 m c X V v d D s s J n F 1 b 3 Q 7 U 2 V j d G l v b j E v a W t v b m t h L 0 F 1 d G 9 S Z W 1 v d m V k Q 2 9 s d W 1 u c z E u e 0 N v b H V t b j I 2 L D I 1 f S Z x d W 9 0 O y w m c X V v d D t T Z W N 0 a W 9 u M S 9 p a 2 9 u a 2 E v Q X V 0 b 1 J l b W 9 2 Z W R D b 2 x 1 b W 5 z M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p a 2 9 u a 2 E v Q X V 0 b 1 J l b W 9 2 Z W R D b 2 x 1 b W 5 z M S 5 7 Q 2 9 s d W 1 u M S w w f S Z x d W 9 0 O y w m c X V v d D t T Z W N 0 a W 9 u M S 9 p a 2 9 u a 2 E v Q X V 0 b 1 J l b W 9 2 Z W R D b 2 x 1 b W 5 z M S 5 7 Q 2 9 s d W 1 u M i w x f S Z x d W 9 0 O y w m c X V v d D t T Z W N 0 a W 9 u M S 9 p a 2 9 u a 2 E v Q X V 0 b 1 J l b W 9 2 Z W R D b 2 x 1 b W 5 z M S 5 7 Q 2 9 s d W 1 u M y w y f S Z x d W 9 0 O y w m c X V v d D t T Z W N 0 a W 9 u M S 9 p a 2 9 u a 2 E v Q X V 0 b 1 J l b W 9 2 Z W R D b 2 x 1 b W 5 z M S 5 7 Q 2 9 s d W 1 u N C w z f S Z x d W 9 0 O y w m c X V v d D t T Z W N 0 a W 9 u M S 9 p a 2 9 u a 2 E v Q X V 0 b 1 J l b W 9 2 Z W R D b 2 x 1 b W 5 z M S 5 7 Q 2 9 s d W 1 u N S w 0 f S Z x d W 9 0 O y w m c X V v d D t T Z W N 0 a W 9 u M S 9 p a 2 9 u a 2 E v Q X V 0 b 1 J l b W 9 2 Z W R D b 2 x 1 b W 5 z M S 5 7 Q 2 9 s d W 1 u N i w 1 f S Z x d W 9 0 O y w m c X V v d D t T Z W N 0 a W 9 u M S 9 p a 2 9 u a 2 E v Q X V 0 b 1 J l b W 9 2 Z W R D b 2 x 1 b W 5 z M S 5 7 Q 2 9 s d W 1 u N y w 2 f S Z x d W 9 0 O y w m c X V v d D t T Z W N 0 a W 9 u M S 9 p a 2 9 u a 2 E v Q X V 0 b 1 J l b W 9 2 Z W R D b 2 x 1 b W 5 z M S 5 7 Q 2 9 s d W 1 u O C w 3 f S Z x d W 9 0 O y w m c X V v d D t T Z W N 0 a W 9 u M S 9 p a 2 9 u a 2 E v Q X V 0 b 1 J l b W 9 2 Z W R D b 2 x 1 b W 5 z M S 5 7 Q 2 9 s d W 1 u O S w 4 f S Z x d W 9 0 O y w m c X V v d D t T Z W N 0 a W 9 u M S 9 p a 2 9 u a 2 E v Q X V 0 b 1 J l b W 9 2 Z W R D b 2 x 1 b W 5 z M S 5 7 Q 2 9 s d W 1 u M T A s O X 0 m c X V v d D s s J n F 1 b 3 Q 7 U 2 V j d G l v b j E v a W t v b m t h L 0 F 1 d G 9 S Z W 1 v d m V k Q 2 9 s d W 1 u c z E u e 0 N v b H V t b j E x L D E w f S Z x d W 9 0 O y w m c X V v d D t T Z W N 0 a W 9 u M S 9 p a 2 9 u a 2 E v Q X V 0 b 1 J l b W 9 2 Z W R D b 2 x 1 b W 5 z M S 5 7 Q 2 9 s d W 1 u M T I s M T F 9 J n F 1 b 3 Q 7 L C Z x d W 9 0 O 1 N l Y 3 R p b 2 4 x L 2 l r b 2 5 r Y S 9 B d X R v U m V t b 3 Z l Z E N v b H V t b n M x L n t D b 2 x 1 b W 4 x M y w x M n 0 m c X V v d D s s J n F 1 b 3 Q 7 U 2 V j d G l v b j E v a W t v b m t h L 0 F 1 d G 9 S Z W 1 v d m V k Q 2 9 s d W 1 u c z E u e 0 N v b H V t b j E 0 L D E z f S Z x d W 9 0 O y w m c X V v d D t T Z W N 0 a W 9 u M S 9 p a 2 9 u a 2 E v Q X V 0 b 1 J l b W 9 2 Z W R D b 2 x 1 b W 5 z M S 5 7 Q 2 9 s d W 1 u M T U s M T R 9 J n F 1 b 3 Q 7 L C Z x d W 9 0 O 1 N l Y 3 R p b 2 4 x L 2 l r b 2 5 r Y S 9 B d X R v U m V t b 3 Z l Z E N v b H V t b n M x L n t D b 2 x 1 b W 4 x N i w x N X 0 m c X V v d D s s J n F 1 b 3 Q 7 U 2 V j d G l v b j E v a W t v b m t h L 0 F 1 d G 9 S Z W 1 v d m V k Q 2 9 s d W 1 u c z E u e 0 N v b H V t b j E 3 L D E 2 f S Z x d W 9 0 O y w m c X V v d D t T Z W N 0 a W 9 u M S 9 p a 2 9 u a 2 E v Q X V 0 b 1 J l b W 9 2 Z W R D b 2 x 1 b W 5 z M S 5 7 Q 2 9 s d W 1 u M T g s M T d 9 J n F 1 b 3 Q 7 L C Z x d W 9 0 O 1 N l Y 3 R p b 2 4 x L 2 l r b 2 5 r Y S 9 B d X R v U m V t b 3 Z l Z E N v b H V t b n M x L n t D b 2 x 1 b W 4 x O S w x O H 0 m c X V v d D s s J n F 1 b 3 Q 7 U 2 V j d G l v b j E v a W t v b m t h L 0 F 1 d G 9 S Z W 1 v d m V k Q 2 9 s d W 1 u c z E u e 0 N v b H V t b j I w L D E 5 f S Z x d W 9 0 O y w m c X V v d D t T Z W N 0 a W 9 u M S 9 p a 2 9 u a 2 E v Q X V 0 b 1 J l b W 9 2 Z W R D b 2 x 1 b W 5 z M S 5 7 Q 2 9 s d W 1 u M j E s M j B 9 J n F 1 b 3 Q 7 L C Z x d W 9 0 O 1 N l Y 3 R p b 2 4 x L 2 l r b 2 5 r Y S 9 B d X R v U m V t b 3 Z l Z E N v b H V t b n M x L n t D b 2 x 1 b W 4 y M i w y M X 0 m c X V v d D s s J n F 1 b 3 Q 7 U 2 V j d G l v b j E v a W t v b m t h L 0 F 1 d G 9 S Z W 1 v d m V k Q 2 9 s d W 1 u c z E u e 0 N v b H V t b j I z L D I y f S Z x d W 9 0 O y w m c X V v d D t T Z W N 0 a W 9 u M S 9 p a 2 9 u a 2 E v Q X V 0 b 1 J l b W 9 2 Z W R D b 2 x 1 b W 5 z M S 5 7 Q 2 9 s d W 1 u M j Q s M j N 9 J n F 1 b 3 Q 7 L C Z x d W 9 0 O 1 N l Y 3 R p b 2 4 x L 2 l r b 2 5 r Y S 9 B d X R v U m V t b 3 Z l Z E N v b H V t b n M x L n t D b 2 x 1 b W 4 y N S w y N H 0 m c X V v d D s s J n F 1 b 3 Q 7 U 2 V j d G l v b j E v a W t v b m t h L 0 F 1 d G 9 S Z W 1 v d m V k Q 2 9 s d W 1 u c z E u e 0 N v b H V t b j I 2 L D I 1 f S Z x d W 9 0 O y w m c X V v d D t T Z W N 0 a W 9 u M S 9 p a 2 9 u a 2 E v Q X V 0 b 1 J l b W 9 2 Z W R D b 2 x 1 b W 5 z M S 5 7 Q 2 9 s d W 1 u M j c s M j Z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l r b 2 5 r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I 0 N j Y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I 6 M D A 6 N T E u O T M z O D Y 2 M F o i I C 8 + P E V u d H J 5 I F R 5 c G U 9 I k Z p b G x D b 2 x 1 b W 5 U e X B l c y I g V m F s d W U 9 I n N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a 2 9 u a 2 E g K D I p L 0 F 1 d G 9 S Z W 1 v d m V k Q 2 9 s d W 1 u c z E u e 0 N v b H V t b j E s M H 0 m c X V v d D s s J n F 1 b 3 Q 7 U 2 V j d G l v b j E v a W t v b m t h I C g y K S 9 B d X R v U m V t b 3 Z l Z E N v b H V t b n M x L n t D b 2 x 1 b W 4 y L D F 9 J n F 1 b 3 Q 7 L C Z x d W 9 0 O 1 N l Y 3 R p b 2 4 x L 2 l r b 2 5 r Y S A o M i k v Q X V 0 b 1 J l b W 9 2 Z W R D b 2 x 1 b W 5 z M S 5 7 Q 2 9 s d W 1 u M y w y f S Z x d W 9 0 O y w m c X V v d D t T Z W N 0 a W 9 u M S 9 p a 2 9 u a 2 E g K D I p L 0 F 1 d G 9 S Z W 1 v d m V k Q 2 9 s d W 1 u c z E u e 0 N v b H V t b j Q s M 3 0 m c X V v d D s s J n F 1 b 3 Q 7 U 2 V j d G l v b j E v a W t v b m t h I C g y K S 9 B d X R v U m V t b 3 Z l Z E N v b H V t b n M x L n t D b 2 x 1 b W 4 1 L D R 9 J n F 1 b 3 Q 7 L C Z x d W 9 0 O 1 N l Y 3 R p b 2 4 x L 2 l r b 2 5 r Y S A o M i k v Q X V 0 b 1 J l b W 9 2 Z W R D b 2 x 1 b W 5 z M S 5 7 Q 2 9 s d W 1 u N i w 1 f S Z x d W 9 0 O y w m c X V v d D t T Z W N 0 a W 9 u M S 9 p a 2 9 u a 2 E g K D I p L 0 F 1 d G 9 S Z W 1 v d m V k Q 2 9 s d W 1 u c z E u e 0 N v b H V t b j c s N n 0 m c X V v d D s s J n F 1 b 3 Q 7 U 2 V j d G l v b j E v a W t v b m t h I C g y K S 9 B d X R v U m V t b 3 Z l Z E N v b H V t b n M x L n t D b 2 x 1 b W 4 4 L D d 9 J n F 1 b 3 Q 7 L C Z x d W 9 0 O 1 N l Y 3 R p b 2 4 x L 2 l r b 2 5 r Y S A o M i k v Q X V 0 b 1 J l b W 9 2 Z W R D b 2 x 1 b W 5 z M S 5 7 Q 2 9 s d W 1 u O S w 4 f S Z x d W 9 0 O y w m c X V v d D t T Z W N 0 a W 9 u M S 9 p a 2 9 u a 2 E g K D I p L 0 F 1 d G 9 S Z W 1 v d m V k Q 2 9 s d W 1 u c z E u e 0 N v b H V t b j E w L D l 9 J n F 1 b 3 Q 7 L C Z x d W 9 0 O 1 N l Y 3 R p b 2 4 x L 2 l r b 2 5 r Y S A o M i k v Q X V 0 b 1 J l b W 9 2 Z W R D b 2 x 1 b W 5 z M S 5 7 Q 2 9 s d W 1 u M T E s M T B 9 J n F 1 b 3 Q 7 L C Z x d W 9 0 O 1 N l Y 3 R p b 2 4 x L 2 l r b 2 5 r Y S A o M i k v Q X V 0 b 1 J l b W 9 2 Z W R D b 2 x 1 b W 5 z M S 5 7 Q 2 9 s d W 1 u M T I s M T F 9 J n F 1 b 3 Q 7 L C Z x d W 9 0 O 1 N l Y 3 R p b 2 4 x L 2 l r b 2 5 r Y S A o M i k v Q X V 0 b 1 J l b W 9 2 Z W R D b 2 x 1 b W 5 z M S 5 7 Q 2 9 s d W 1 u M T M s M T J 9 J n F 1 b 3 Q 7 L C Z x d W 9 0 O 1 N l Y 3 R p b 2 4 x L 2 l r b 2 5 r Y S A o M i k v Q X V 0 b 1 J l b W 9 2 Z W R D b 2 x 1 b W 5 z M S 5 7 Q 2 9 s d W 1 u M T Q s M T N 9 J n F 1 b 3 Q 7 L C Z x d W 9 0 O 1 N l Y 3 R p b 2 4 x L 2 l r b 2 5 r Y S A o M i k v Q X V 0 b 1 J l b W 9 2 Z W R D b 2 x 1 b W 5 z M S 5 7 Q 2 9 s d W 1 u M T U s M T R 9 J n F 1 b 3 Q 7 L C Z x d W 9 0 O 1 N l Y 3 R p b 2 4 x L 2 l r b 2 5 r Y S A o M i k v Q X V 0 b 1 J l b W 9 2 Z W R D b 2 x 1 b W 5 z M S 5 7 Q 2 9 s d W 1 u M T Y s M T V 9 J n F 1 b 3 Q 7 L C Z x d W 9 0 O 1 N l Y 3 R p b 2 4 x L 2 l r b 2 5 r Y S A o M i k v Q X V 0 b 1 J l b W 9 2 Z W R D b 2 x 1 b W 5 z M S 5 7 Q 2 9 s d W 1 u M T c s M T Z 9 J n F 1 b 3 Q 7 L C Z x d W 9 0 O 1 N l Y 3 R p b 2 4 x L 2 l r b 2 5 r Y S A o M i k v Q X V 0 b 1 J l b W 9 2 Z W R D b 2 x 1 b W 5 z M S 5 7 Q 2 9 s d W 1 u M T g s M T d 9 J n F 1 b 3 Q 7 L C Z x d W 9 0 O 1 N l Y 3 R p b 2 4 x L 2 l r b 2 5 r Y S A o M i k v Q X V 0 b 1 J l b W 9 2 Z W R D b 2 x 1 b W 5 z M S 5 7 Q 2 9 s d W 1 u M T k s M T h 9 J n F 1 b 3 Q 7 L C Z x d W 9 0 O 1 N l Y 3 R p b 2 4 x L 2 l r b 2 5 r Y S A o M i k v Q X V 0 b 1 J l b W 9 2 Z W R D b 2 x 1 b W 5 z M S 5 7 Q 2 9 s d W 1 u M j A s M T l 9 J n F 1 b 3 Q 7 L C Z x d W 9 0 O 1 N l Y 3 R p b 2 4 x L 2 l r b 2 5 r Y S A o M i k v Q X V 0 b 1 J l b W 9 2 Z W R D b 2 x 1 b W 5 z M S 5 7 Q 2 9 s d W 1 u M j E s M j B 9 J n F 1 b 3 Q 7 L C Z x d W 9 0 O 1 N l Y 3 R p b 2 4 x L 2 l r b 2 5 r Y S A o M i k v Q X V 0 b 1 J l b W 9 2 Z W R D b 2 x 1 b W 5 z M S 5 7 Q 2 9 s d W 1 u M j I s M j F 9 J n F 1 b 3 Q 7 L C Z x d W 9 0 O 1 N l Y 3 R p b 2 4 x L 2 l r b 2 5 r Y S A o M i k v Q X V 0 b 1 J l b W 9 2 Z W R D b 2 x 1 b W 5 z M S 5 7 Q 2 9 s d W 1 u M j M s M j J 9 J n F 1 b 3 Q 7 L C Z x d W 9 0 O 1 N l Y 3 R p b 2 4 x L 2 l r b 2 5 r Y S A o M i k v Q X V 0 b 1 J l b W 9 2 Z W R D b 2 x 1 b W 5 z M S 5 7 Q 2 9 s d W 1 u M j Q s M j N 9 J n F 1 b 3 Q 7 L C Z x d W 9 0 O 1 N l Y 3 R p b 2 4 x L 2 l r b 2 5 r Y S A o M i k v Q X V 0 b 1 J l b W 9 2 Z W R D b 2 x 1 b W 5 z M S 5 7 Q 2 9 s d W 1 u M j U s M j R 9 J n F 1 b 3 Q 7 L C Z x d W 9 0 O 1 N l Y 3 R p b 2 4 x L 2 l r b 2 5 r Y S A o M i k v Q X V 0 b 1 J l b W 9 2 Z W R D b 2 x 1 b W 5 z M S 5 7 Q 2 9 s d W 1 u M j Y s M j V 9 J n F 1 b 3 Q 7 L C Z x d W 9 0 O 1 N l Y 3 R p b 2 4 x L 2 l r b 2 5 r Y S A o M i k v Q X V 0 b 1 J l b W 9 2 Z W R D b 2 x 1 b W 5 z M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p a 2 9 u a 2 E g K D I p L 0 F 1 d G 9 S Z W 1 v d m V k Q 2 9 s d W 1 u c z E u e 0 N v b H V t b j E s M H 0 m c X V v d D s s J n F 1 b 3 Q 7 U 2 V j d G l v b j E v a W t v b m t h I C g y K S 9 B d X R v U m V t b 3 Z l Z E N v b H V t b n M x L n t D b 2 x 1 b W 4 y L D F 9 J n F 1 b 3 Q 7 L C Z x d W 9 0 O 1 N l Y 3 R p b 2 4 x L 2 l r b 2 5 r Y S A o M i k v Q X V 0 b 1 J l b W 9 2 Z W R D b 2 x 1 b W 5 z M S 5 7 Q 2 9 s d W 1 u M y w y f S Z x d W 9 0 O y w m c X V v d D t T Z W N 0 a W 9 u M S 9 p a 2 9 u a 2 E g K D I p L 0 F 1 d G 9 S Z W 1 v d m V k Q 2 9 s d W 1 u c z E u e 0 N v b H V t b j Q s M 3 0 m c X V v d D s s J n F 1 b 3 Q 7 U 2 V j d G l v b j E v a W t v b m t h I C g y K S 9 B d X R v U m V t b 3 Z l Z E N v b H V t b n M x L n t D b 2 x 1 b W 4 1 L D R 9 J n F 1 b 3 Q 7 L C Z x d W 9 0 O 1 N l Y 3 R p b 2 4 x L 2 l r b 2 5 r Y S A o M i k v Q X V 0 b 1 J l b W 9 2 Z W R D b 2 x 1 b W 5 z M S 5 7 Q 2 9 s d W 1 u N i w 1 f S Z x d W 9 0 O y w m c X V v d D t T Z W N 0 a W 9 u M S 9 p a 2 9 u a 2 E g K D I p L 0 F 1 d G 9 S Z W 1 v d m V k Q 2 9 s d W 1 u c z E u e 0 N v b H V t b j c s N n 0 m c X V v d D s s J n F 1 b 3 Q 7 U 2 V j d G l v b j E v a W t v b m t h I C g y K S 9 B d X R v U m V t b 3 Z l Z E N v b H V t b n M x L n t D b 2 x 1 b W 4 4 L D d 9 J n F 1 b 3 Q 7 L C Z x d W 9 0 O 1 N l Y 3 R p b 2 4 x L 2 l r b 2 5 r Y S A o M i k v Q X V 0 b 1 J l b W 9 2 Z W R D b 2 x 1 b W 5 z M S 5 7 Q 2 9 s d W 1 u O S w 4 f S Z x d W 9 0 O y w m c X V v d D t T Z W N 0 a W 9 u M S 9 p a 2 9 u a 2 E g K D I p L 0 F 1 d G 9 S Z W 1 v d m V k Q 2 9 s d W 1 u c z E u e 0 N v b H V t b j E w L D l 9 J n F 1 b 3 Q 7 L C Z x d W 9 0 O 1 N l Y 3 R p b 2 4 x L 2 l r b 2 5 r Y S A o M i k v Q X V 0 b 1 J l b W 9 2 Z W R D b 2 x 1 b W 5 z M S 5 7 Q 2 9 s d W 1 u M T E s M T B 9 J n F 1 b 3 Q 7 L C Z x d W 9 0 O 1 N l Y 3 R p b 2 4 x L 2 l r b 2 5 r Y S A o M i k v Q X V 0 b 1 J l b W 9 2 Z W R D b 2 x 1 b W 5 z M S 5 7 Q 2 9 s d W 1 u M T I s M T F 9 J n F 1 b 3 Q 7 L C Z x d W 9 0 O 1 N l Y 3 R p b 2 4 x L 2 l r b 2 5 r Y S A o M i k v Q X V 0 b 1 J l b W 9 2 Z W R D b 2 x 1 b W 5 z M S 5 7 Q 2 9 s d W 1 u M T M s M T J 9 J n F 1 b 3 Q 7 L C Z x d W 9 0 O 1 N l Y 3 R p b 2 4 x L 2 l r b 2 5 r Y S A o M i k v Q X V 0 b 1 J l b W 9 2 Z W R D b 2 x 1 b W 5 z M S 5 7 Q 2 9 s d W 1 u M T Q s M T N 9 J n F 1 b 3 Q 7 L C Z x d W 9 0 O 1 N l Y 3 R p b 2 4 x L 2 l r b 2 5 r Y S A o M i k v Q X V 0 b 1 J l b W 9 2 Z W R D b 2 x 1 b W 5 z M S 5 7 Q 2 9 s d W 1 u M T U s M T R 9 J n F 1 b 3 Q 7 L C Z x d W 9 0 O 1 N l Y 3 R p b 2 4 x L 2 l r b 2 5 r Y S A o M i k v Q X V 0 b 1 J l b W 9 2 Z W R D b 2 x 1 b W 5 z M S 5 7 Q 2 9 s d W 1 u M T Y s M T V 9 J n F 1 b 3 Q 7 L C Z x d W 9 0 O 1 N l Y 3 R p b 2 4 x L 2 l r b 2 5 r Y S A o M i k v Q X V 0 b 1 J l b W 9 2 Z W R D b 2 x 1 b W 5 z M S 5 7 Q 2 9 s d W 1 u M T c s M T Z 9 J n F 1 b 3 Q 7 L C Z x d W 9 0 O 1 N l Y 3 R p b 2 4 x L 2 l r b 2 5 r Y S A o M i k v Q X V 0 b 1 J l b W 9 2 Z W R D b 2 x 1 b W 5 z M S 5 7 Q 2 9 s d W 1 u M T g s M T d 9 J n F 1 b 3 Q 7 L C Z x d W 9 0 O 1 N l Y 3 R p b 2 4 x L 2 l r b 2 5 r Y S A o M i k v Q X V 0 b 1 J l b W 9 2 Z W R D b 2 x 1 b W 5 z M S 5 7 Q 2 9 s d W 1 u M T k s M T h 9 J n F 1 b 3 Q 7 L C Z x d W 9 0 O 1 N l Y 3 R p b 2 4 x L 2 l r b 2 5 r Y S A o M i k v Q X V 0 b 1 J l b W 9 2 Z W R D b 2 x 1 b W 5 z M S 5 7 Q 2 9 s d W 1 u M j A s M T l 9 J n F 1 b 3 Q 7 L C Z x d W 9 0 O 1 N l Y 3 R p b 2 4 x L 2 l r b 2 5 r Y S A o M i k v Q X V 0 b 1 J l b W 9 2 Z W R D b 2 x 1 b W 5 z M S 5 7 Q 2 9 s d W 1 u M j E s M j B 9 J n F 1 b 3 Q 7 L C Z x d W 9 0 O 1 N l Y 3 R p b 2 4 x L 2 l r b 2 5 r Y S A o M i k v Q X V 0 b 1 J l b W 9 2 Z W R D b 2 x 1 b W 5 z M S 5 7 Q 2 9 s d W 1 u M j I s M j F 9 J n F 1 b 3 Q 7 L C Z x d W 9 0 O 1 N l Y 3 R p b 2 4 x L 2 l r b 2 5 r Y S A o M i k v Q X V 0 b 1 J l b W 9 2 Z W R D b 2 x 1 b W 5 z M S 5 7 Q 2 9 s d W 1 u M j M s M j J 9 J n F 1 b 3 Q 7 L C Z x d W 9 0 O 1 N l Y 3 R p b 2 4 x L 2 l r b 2 5 r Y S A o M i k v Q X V 0 b 1 J l b W 9 2 Z W R D b 2 x 1 b W 5 z M S 5 7 Q 2 9 s d W 1 u M j Q s M j N 9 J n F 1 b 3 Q 7 L C Z x d W 9 0 O 1 N l Y 3 R p b 2 4 x L 2 l r b 2 5 r Y S A o M i k v Q X V 0 b 1 J l b W 9 2 Z W R D b 2 x 1 b W 5 z M S 5 7 Q 2 9 s d W 1 u M j U s M j R 9 J n F 1 b 3 Q 7 L C Z x d W 9 0 O 1 N l Y 3 R p b 2 4 x L 2 l r b 2 5 r Y S A o M i k v Q X V 0 b 1 J l b W 9 2 Z W R D b 2 x 1 b W 5 z M S 5 7 Q 2 9 s d W 1 u M j Y s M j V 9 J n F 1 b 3 Q 7 L C Z x d W 9 0 O 1 N l Y 3 R p b 2 4 x L 2 l r b 2 5 r Y S A o M i k v Q X V 0 b 1 J l b W 9 2 Z W R D b 2 x 1 b W 5 z M S 5 7 Q 2 9 s d W 1 u M j c s M j Z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N o d W 1 l Z S 1 t Y W x s L W N 6 L W l r b 2 5 r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Y 0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N l Q x M j o w M j o z N C 4 4 M z M 2 M D I x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h 1 b W V l L W 1 h b G w t Y 3 o t a W t v b m t h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c 2 h 1 b W V l L W 1 h b G w t Y 3 o t a W t v b m t h L 0 F 1 d G 9 S Z W 1 v d m V k Q 2 9 s d W 1 u c z E u e 0 N v b H V t b j E s M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a 2 l u Z 2 h v b W V w b D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2 l n Y W N q Y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N l Q x M z o 0 M T o 0 N i 4 y M z Y 3 M z M x W i I g L z 4 8 R W 5 0 c n k g V H l w Z T 0 i R m l s b E N v b H V t b l R 5 c G V z I i B W Y W x 1 Z T 0 i c 0 J n W U d C Z 1 l H Q m d Z R 0 J n P T 0 i I C 8 + P E V u d H J 5 I F R 5 c G U 9 I k Z p b G x D b 2 x 1 b W 5 O Y W 1 l c y I g V m F s d W U 9 I n N b J n F 1 b 3 Q 7 b y 5 j Y X Q m c X V v d D s s J n F 1 b 3 Q 7 b y 5 u Y W 1 l J n F 1 b 3 Q 7 L C Z x d W 9 0 O 2 8 u Z G V z Y y Z x d W 9 0 O y w m c X V v d D t v L k F 0 d H J p Y n V 0 Z T p p Z C Z x d W 9 0 O y w m c X V v d D t v L k F 0 d H J p Y n V 0 Z T p 1 c m w m c X V v d D s s J n F 1 b 3 Q 7 b y 5 B d H R y a W J 1 d G U 6 c H J p Y 2 U m c X V v d D s s J n F 1 b 3 Q 7 b y 5 B d H R y a W J 1 d G U 6 d 2 V p Z 2 h 0 J n F 1 b 3 Q 7 L C Z x d W 9 0 O 2 8 u Q X R 0 c m l i d X R l O n N 0 b 2 N r J n F 1 b 3 Q 7 L C Z x d W 9 0 O 0 F 0 d H J p Y n V 0 Z T p 4 c 2 k m c X V v d D s s J n F 1 b 3 Q 7 Q X R 0 c m l i d X R l O n Z l c n N p b 2 4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a W 5 n a G 9 t Z X B s L 0 F 1 d G 9 S Z W 1 v d m V k Q 2 9 s d W 1 u c z E u e 2 8 u Y 2 F 0 L D B 9 J n F 1 b 3 Q 7 L C Z x d W 9 0 O 1 N l Y 3 R p b 2 4 x L 2 t p b m d o b 2 1 l c G w v Q X V 0 b 1 J l b W 9 2 Z W R D b 2 x 1 b W 5 z M S 5 7 b y 5 u Y W 1 l L D F 9 J n F 1 b 3 Q 7 L C Z x d W 9 0 O 1 N l Y 3 R p b 2 4 x L 2 t p b m d o b 2 1 l c G w v Q X V 0 b 1 J l b W 9 2 Z W R D b 2 x 1 b W 5 z M S 5 7 b y 5 k Z X N j L D J 9 J n F 1 b 3 Q 7 L C Z x d W 9 0 O 1 N l Y 3 R p b 2 4 x L 2 t p b m d o b 2 1 l c G w v Q X V 0 b 1 J l b W 9 2 Z W R D b 2 x 1 b W 5 z M S 5 7 b y 5 B d H R y a W J 1 d G U 6 a W Q s M 3 0 m c X V v d D s s J n F 1 b 3 Q 7 U 2 V j d G l v b j E v a 2 l u Z 2 h v b W V w b C 9 B d X R v U m V t b 3 Z l Z E N v b H V t b n M x L n t v L k F 0 d H J p Y n V 0 Z T p 1 c m w s N H 0 m c X V v d D s s J n F 1 b 3 Q 7 U 2 V j d G l v b j E v a 2 l u Z 2 h v b W V w b C 9 B d X R v U m V t b 3 Z l Z E N v b H V t b n M x L n t v L k F 0 d H J p Y n V 0 Z T p w c m l j Z S w 1 f S Z x d W 9 0 O y w m c X V v d D t T Z W N 0 a W 9 u M S 9 r a W 5 n a G 9 t Z X B s L 0 F 1 d G 9 S Z W 1 v d m V k Q 2 9 s d W 1 u c z E u e 2 8 u Q X R 0 c m l i d X R l O n d l a W d o d C w 2 f S Z x d W 9 0 O y w m c X V v d D t T Z W N 0 a W 9 u M S 9 r a W 5 n a G 9 t Z X B s L 0 F 1 d G 9 S Z W 1 v d m V k Q 2 9 s d W 1 u c z E u e 2 8 u Q X R 0 c m l i d X R l O n N 0 b 2 N r L D d 9 J n F 1 b 3 Q 7 L C Z x d W 9 0 O 1 N l Y 3 R p b 2 4 x L 2 t p b m d o b 2 1 l c G w v Q X V 0 b 1 J l b W 9 2 Z W R D b 2 x 1 b W 5 z M S 5 7 Q X R 0 c m l i d X R l O n h z a S w 4 f S Z x d W 9 0 O y w m c X V v d D t T Z W N 0 a W 9 u M S 9 r a W 5 n a G 9 t Z X B s L 0 F 1 d G 9 S Z W 1 v d m V k Q 2 9 s d W 1 u c z E u e 0 F 0 d H J p Y n V 0 Z T p 2 Z X J z a W 9 u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r a W 5 n a G 9 t Z X B s L 0 F 1 d G 9 S Z W 1 v d m V k Q 2 9 s d W 1 u c z E u e 2 8 u Y 2 F 0 L D B 9 J n F 1 b 3 Q 7 L C Z x d W 9 0 O 1 N l Y 3 R p b 2 4 x L 2 t p b m d o b 2 1 l c G w v Q X V 0 b 1 J l b W 9 2 Z W R D b 2 x 1 b W 5 z M S 5 7 b y 5 u Y W 1 l L D F 9 J n F 1 b 3 Q 7 L C Z x d W 9 0 O 1 N l Y 3 R p b 2 4 x L 2 t p b m d o b 2 1 l c G w v Q X V 0 b 1 J l b W 9 2 Z W R D b 2 x 1 b W 5 z M S 5 7 b y 5 k Z X N j L D J 9 J n F 1 b 3 Q 7 L C Z x d W 9 0 O 1 N l Y 3 R p b 2 4 x L 2 t p b m d o b 2 1 l c G w v Q X V 0 b 1 J l b W 9 2 Z W R D b 2 x 1 b W 5 z M S 5 7 b y 5 B d H R y a W J 1 d G U 6 a W Q s M 3 0 m c X V v d D s s J n F 1 b 3 Q 7 U 2 V j d G l v b j E v a 2 l u Z 2 h v b W V w b C 9 B d X R v U m V t b 3 Z l Z E N v b H V t b n M x L n t v L k F 0 d H J p Y n V 0 Z T p 1 c m w s N H 0 m c X V v d D s s J n F 1 b 3 Q 7 U 2 V j d G l v b j E v a 2 l u Z 2 h v b W V w b C 9 B d X R v U m V t b 3 Z l Z E N v b H V t b n M x L n t v L k F 0 d H J p Y n V 0 Z T p w c m l j Z S w 1 f S Z x d W 9 0 O y w m c X V v d D t T Z W N 0 a W 9 u M S 9 r a W 5 n a G 9 t Z X B s L 0 F 1 d G 9 S Z W 1 v d m V k Q 2 9 s d W 1 u c z E u e 2 8 u Q X R 0 c m l i d X R l O n d l a W d o d C w 2 f S Z x d W 9 0 O y w m c X V v d D t T Z W N 0 a W 9 u M S 9 r a W 5 n a G 9 t Z X B s L 0 F 1 d G 9 S Z W 1 v d m V k Q 2 9 s d W 1 u c z E u e 2 8 u Q X R 0 c m l i d X R l O n N 0 b 2 N r L D d 9 J n F 1 b 3 Q 7 L C Z x d W 9 0 O 1 N l Y 3 R p b 2 4 x L 2 t p b m d o b 2 1 l c G w v Q X V 0 b 1 J l b W 9 2 Z W R D b 2 x 1 b W 5 z M S 5 7 Q X R 0 c m l i d X R l O n h z a S w 4 f S Z x d W 9 0 O y w m c X V v d D t T Z W N 0 a W 9 u M S 9 r a W 5 n a G 9 t Z X B s L 0 F 1 d G 9 S Z W 1 v d m V k Q 2 9 s d W 1 u c z E u e 0 F 0 d H J p Y n V 0 Z T p 2 Z X J z a W 9 u L D l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N z d m t h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z d m t h J T I w K D I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r b 2 5 r Y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a 2 9 u a 2 E l M j A o M i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h 1 b W V l L W 1 h b G w t Y 3 o t a W t v b m t h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t p b m d o b 2 1 l c G w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2 l u Z 2 h v b W V w b C 9 S b 3 p 3 a W 5 p J U M 0 J T k 5 d H k l M j B l b G V t Z W 5 0 J T I w b z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w L T A z V D E 0 O j A w O j M w L j c 0 M T E w N z Z a I i A v P j x F b n R y e S B U e X B l P S J G a W x s Q 2 9 s d W 1 u V H l w Z X M i I F Z h b H V l P S J z Q m d Z R 0 F B Q U F B Q V l H Q m d Z R y I g L z 4 8 R W 5 0 c n k g V H l w Z T 0 i R m l s b E N v b H V t b k 5 h b W V z I i B W Y W x 1 Z T 0 i c 1 s m c X V v d D t j Y X Q m c X V v d D s s J n F 1 b 3 Q 7 b m F t Z S Z x d W 9 0 O y w m c X V v d D t k Z X N j J n F 1 b 3 Q 7 L C Z x d W 9 0 O 2 l t Z 3 M u b W F p b i 5 B d H R y a W J 1 d G U 6 d X J s J n F 1 b 3 Q 7 L C Z x d W 9 0 O 2 l t Z 3 M u a S 5 B d H R y a W J 1 d G U 6 d X J s J n F 1 b 3 Q 7 L C Z x d W 9 0 O 2 F 0 d H J z L m E u R W x l b W V u d D p U Z X h 0 J n F 1 b 3 Q 7 L C Z x d W 9 0 O 2 F 0 d H J z L m E u Q X R 0 c m l i d X R l O m 5 h b W U m c X V v d D s s J n F 1 b 3 Q 7 Q X R 0 c m l i d X R l O m l k J n F 1 b 3 Q 7 L C Z x d W 9 0 O 0 F 0 d H J p Y n V 0 Z T p 1 c m w m c X V v d D s s J n F 1 b 3 Q 7 Q X R 0 c m l i d X R l O n B y a W N l J n F 1 b 3 Q 7 L C Z x d W 9 0 O 0 F 0 d H J p Y n V 0 Z T p h d m F p b C Z x d W 9 0 O y w m c X V v d D t B d H R y a W J 1 d G U 6 c 3 R v Y 2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y 9 B d X R v U m V t b 3 Z l Z E N v b H V t b n M x L n t j Y X Q s M H 0 m c X V v d D s s J n F 1 b 3 Q 7 U 2 V j d G l v b j E v b y 9 B d X R v U m V t b 3 Z l Z E N v b H V t b n M x L n t u Y W 1 l L D F 9 J n F 1 b 3 Q 7 L C Z x d W 9 0 O 1 N l Y 3 R p b 2 4 x L 2 8 v Q X V 0 b 1 J l b W 9 2 Z W R D b 2 x 1 b W 5 z M S 5 7 Z G V z Y y w y f S Z x d W 9 0 O y w m c X V v d D t T Z W N 0 a W 9 u M S 9 v L 0 F 1 d G 9 S Z W 1 v d m V k Q 2 9 s d W 1 u c z E u e 2 l t Z 3 M u b W F p b i 5 B d H R y a W J 1 d G U 6 d X J s L D N 9 J n F 1 b 3 Q 7 L C Z x d W 9 0 O 1 N l Y 3 R p b 2 4 x L 2 8 v Q X V 0 b 1 J l b W 9 2 Z W R D b 2 x 1 b W 5 z M S 5 7 a W 1 n c y 5 p L k F 0 d H J p Y n V 0 Z T p 1 c m w s N H 0 m c X V v d D s s J n F 1 b 3 Q 7 U 2 V j d G l v b j E v b y 9 B d X R v U m V t b 3 Z l Z E N v b H V t b n M x L n t h d H R y c y 5 h L k V s Z W 1 l b n Q 6 V G V 4 d C w 1 f S Z x d W 9 0 O y w m c X V v d D t T Z W N 0 a W 9 u M S 9 v L 0 F 1 d G 9 S Z W 1 v d m V k Q 2 9 s d W 1 u c z E u e 2 F 0 d H J z L m E u Q X R 0 c m l i d X R l O m 5 h b W U s N n 0 m c X V v d D s s J n F 1 b 3 Q 7 U 2 V j d G l v b j E v b y 9 B d X R v U m V t b 3 Z l Z E N v b H V t b n M x L n t B d H R y a W J 1 d G U 6 a W Q s N 3 0 m c X V v d D s s J n F 1 b 3 Q 7 U 2 V j d G l v b j E v b y 9 B d X R v U m V t b 3 Z l Z E N v b H V t b n M x L n t B d H R y a W J 1 d G U 6 d X J s L D h 9 J n F 1 b 3 Q 7 L C Z x d W 9 0 O 1 N l Y 3 R p b 2 4 x L 2 8 v Q X V 0 b 1 J l b W 9 2 Z W R D b 2 x 1 b W 5 z M S 5 7 Q X R 0 c m l i d X R l O n B y a W N l L D l 9 J n F 1 b 3 Q 7 L C Z x d W 9 0 O 1 N l Y 3 R p b 2 4 x L 2 8 v Q X V 0 b 1 J l b W 9 2 Z W R D b 2 x 1 b W 5 z M S 5 7 Q X R 0 c m l i d X R l O m F 2 Y W l s L D E w f S Z x d W 9 0 O y w m c X V v d D t T Z W N 0 a W 9 u M S 9 v L 0 F 1 d G 9 S Z W 1 v d m V k Q 2 9 s d W 1 u c z E u e 0 F 0 d H J p Y n V 0 Z T p z d G 9 j a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2 8 v Q X V 0 b 1 J l b W 9 2 Z W R D b 2 x 1 b W 5 z M S 5 7 Y 2 F 0 L D B 9 J n F 1 b 3 Q 7 L C Z x d W 9 0 O 1 N l Y 3 R p b 2 4 x L 2 8 v Q X V 0 b 1 J l b W 9 2 Z W R D b 2 x 1 b W 5 z M S 5 7 b m F t Z S w x f S Z x d W 9 0 O y w m c X V v d D t T Z W N 0 a W 9 u M S 9 v L 0 F 1 d G 9 S Z W 1 v d m V k Q 2 9 s d W 1 u c z E u e 2 R l c 2 M s M n 0 m c X V v d D s s J n F 1 b 3 Q 7 U 2 V j d G l v b j E v b y 9 B d X R v U m V t b 3 Z l Z E N v b H V t b n M x L n t p b W d z L m 1 h a W 4 u Q X R 0 c m l i d X R l O n V y b C w z f S Z x d W 9 0 O y w m c X V v d D t T Z W N 0 a W 9 u M S 9 v L 0 F 1 d G 9 S Z W 1 v d m V k Q 2 9 s d W 1 u c z E u e 2 l t Z 3 M u a S 5 B d H R y a W J 1 d G U 6 d X J s L D R 9 J n F 1 b 3 Q 7 L C Z x d W 9 0 O 1 N l Y 3 R p b 2 4 x L 2 8 v Q X V 0 b 1 J l b W 9 2 Z W R D b 2 x 1 b W 5 z M S 5 7 Y X R 0 c n M u Y S 5 F b G V t Z W 5 0 O l R l e H Q s N X 0 m c X V v d D s s J n F 1 b 3 Q 7 U 2 V j d G l v b j E v b y 9 B d X R v U m V t b 3 Z l Z E N v b H V t b n M x L n t h d H R y c y 5 h L k F 0 d H J p Y n V 0 Z T p u Y W 1 l L D Z 9 J n F 1 b 3 Q 7 L C Z x d W 9 0 O 1 N l Y 3 R p b 2 4 x L 2 8 v Q X V 0 b 1 J l b W 9 2 Z W R D b 2 x 1 b W 5 z M S 5 7 Q X R 0 c m l i d X R l O m l k L D d 9 J n F 1 b 3 Q 7 L C Z x d W 9 0 O 1 N l Y 3 R p b 2 4 x L 2 8 v Q X V 0 b 1 J l b W 9 2 Z W R D b 2 x 1 b W 5 z M S 5 7 Q X R 0 c m l i d X R l O n V y b C w 4 f S Z x d W 9 0 O y w m c X V v d D t T Z W N 0 a W 9 u M S 9 v L 0 F 1 d G 9 S Z W 1 v d m V k Q 2 9 s d W 1 u c z E u e 0 F 0 d H J p Y n V 0 Z T p w c m l j Z S w 5 f S Z x d W 9 0 O y w m c X V v d D t T Z W N 0 a W 9 u M S 9 v L 0 F 1 d G 9 S Z W 1 v d m V k Q 2 9 s d W 1 u c z E u e 0 F 0 d H J p Y n V 0 Z T p h d m F p b C w x M H 0 m c X V v d D s s J n F 1 b 3 Q 7 U 2 V j d G l v b j E v b y 9 B d X R v U m V t b 3 Z l Z E N v b H V t b n M x L n t B d H R y a W J 1 d G U 6 c 3 R v Y 2 s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8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y 9 S b 3 p 3 a W 5 p J U M 0 J T k 5 d H k l M j B l b G V t Z W 5 0 J T I w a W 1 n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8 v U m 9 6 d 2 l u a S V D N C U 5 O X R 5 J T I w Z W x l b W V u d C U y M G F 0 d H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y 9 S b 3 p 3 a W 5 p J U M 0 J T k 5 d H k l M j B l b G V t Z W 5 0 J T I w a W 1 n c y 5 t Y W l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y 9 S b 3 p 3 a W 5 p J U M 0 J T k 5 d H k l M j B l b G V t Z W 5 0 J T I w a W 1 n c y 5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y 9 S b 3 p 3 a W 5 p J U M 0 J T k 5 d H k l M j B l b G V t Z W 5 0 J T I w Y X R 0 c n M u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Z G V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y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w M 1 Q x N D o w M T o 1 M S 4 z N T E w N z A 4 W i I g L z 4 8 R W 5 0 c n k g V H l w Z T 0 i R m l s b E N v b H V t b l R 5 c G V z I i B W Y W x 1 Z T 0 i c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u Z G V 4 L 0 F 1 d G 9 S Z W 1 v d m V k Q 2 9 s d W 1 u c z E u e 0 N v b H V t b j E s M H 0 m c X V v d D s s J n F 1 b 3 Q 7 U 2 V j d G l v b j E v Y W 5 k Z X g v Q X V 0 b 1 J l b W 9 2 Z W R D b 2 x 1 b W 5 z M S 5 7 Q 2 9 s d W 1 u M i w x f S Z x d W 9 0 O y w m c X V v d D t T Z W N 0 a W 9 u M S 9 h b m R l e C 9 B d X R v U m V t b 3 Z l Z E N v b H V t b n M x L n t D b 2 x 1 b W 4 z L D J 9 J n F 1 b 3 Q 7 L C Z x d W 9 0 O 1 N l Y 3 R p b 2 4 x L 2 F u Z G V 4 L 0 F 1 d G 9 S Z W 1 v d m V k Q 2 9 s d W 1 u c z E u e 0 N v b H V t b j Q s M 3 0 m c X V v d D s s J n F 1 b 3 Q 7 U 2 V j d G l v b j E v Y W 5 k Z X g v Q X V 0 b 1 J l b W 9 2 Z W R D b 2 x 1 b W 5 z M S 5 7 Q 2 9 s d W 1 u N S w 0 f S Z x d W 9 0 O y w m c X V v d D t T Z W N 0 a W 9 u M S 9 h b m R l e C 9 B d X R v U m V t b 3 Z l Z E N v b H V t b n M x L n t D b 2 x 1 b W 4 2 L D V 9 J n F 1 b 3 Q 7 L C Z x d W 9 0 O 1 N l Y 3 R p b 2 4 x L 2 F u Z G V 4 L 0 F 1 d G 9 S Z W 1 v d m V k Q 2 9 s d W 1 u c z E u e 0 N v b H V t b j c s N n 0 m c X V v d D s s J n F 1 b 3 Q 7 U 2 V j d G l v b j E v Y W 5 k Z X g v Q X V 0 b 1 J l b W 9 2 Z W R D b 2 x 1 b W 5 z M S 5 7 Q 2 9 s d W 1 u O C w 3 f S Z x d W 9 0 O y w m c X V v d D t T Z W N 0 a W 9 u M S 9 h b m R l e C 9 B d X R v U m V t b 3 Z l Z E N v b H V t b n M x L n t D b 2 x 1 b W 4 5 L D h 9 J n F 1 b 3 Q 7 L C Z x d W 9 0 O 1 N l Y 3 R p b 2 4 x L 2 F u Z G V 4 L 0 F 1 d G 9 S Z W 1 v d m V k Q 2 9 s d W 1 u c z E u e 0 N v b H V t b j E w L D l 9 J n F 1 b 3 Q 7 L C Z x d W 9 0 O 1 N l Y 3 R p b 2 4 x L 2 F u Z G V 4 L 0 F 1 d G 9 S Z W 1 v d m V k Q 2 9 s d W 1 u c z E u e 0 N v b H V t b j E x L D E w f S Z x d W 9 0 O y w m c X V v d D t T Z W N 0 a W 9 u M S 9 h b m R l e C 9 B d X R v U m V t b 3 Z l Z E N v b H V t b n M x L n t D b 2 x 1 b W 4 x M i w x M X 0 m c X V v d D s s J n F 1 b 3 Q 7 U 2 V j d G l v b j E v Y W 5 k Z X g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h b m R l e C 9 B d X R v U m V t b 3 Z l Z E N v b H V t b n M x L n t D b 2 x 1 b W 4 x L D B 9 J n F 1 b 3 Q 7 L C Z x d W 9 0 O 1 N l Y 3 R p b 2 4 x L 2 F u Z G V 4 L 0 F 1 d G 9 S Z W 1 v d m V k Q 2 9 s d W 1 u c z E u e 0 N v b H V t b j I s M X 0 m c X V v d D s s J n F 1 b 3 Q 7 U 2 V j d G l v b j E v Y W 5 k Z X g v Q X V 0 b 1 J l b W 9 2 Z W R D b 2 x 1 b W 5 z M S 5 7 Q 2 9 s d W 1 u M y w y f S Z x d W 9 0 O y w m c X V v d D t T Z W N 0 a W 9 u M S 9 h b m R l e C 9 B d X R v U m V t b 3 Z l Z E N v b H V t b n M x L n t D b 2 x 1 b W 4 0 L D N 9 J n F 1 b 3 Q 7 L C Z x d W 9 0 O 1 N l Y 3 R p b 2 4 x L 2 F u Z G V 4 L 0 F 1 d G 9 S Z W 1 v d m V k Q 2 9 s d W 1 u c z E u e 0 N v b H V t b j U s N H 0 m c X V v d D s s J n F 1 b 3 Q 7 U 2 V j d G l v b j E v Y W 5 k Z X g v Q X V 0 b 1 J l b W 9 2 Z W R D b 2 x 1 b W 5 z M S 5 7 Q 2 9 s d W 1 u N i w 1 f S Z x d W 9 0 O y w m c X V v d D t T Z W N 0 a W 9 u M S 9 h b m R l e C 9 B d X R v U m V t b 3 Z l Z E N v b H V t b n M x L n t D b 2 x 1 b W 4 3 L D Z 9 J n F 1 b 3 Q 7 L C Z x d W 9 0 O 1 N l Y 3 R p b 2 4 x L 2 F u Z G V 4 L 0 F 1 d G 9 S Z W 1 v d m V k Q 2 9 s d W 1 u c z E u e 0 N v b H V t b j g s N 3 0 m c X V v d D s s J n F 1 b 3 Q 7 U 2 V j d G l v b j E v Y W 5 k Z X g v Q X V 0 b 1 J l b W 9 2 Z W R D b 2 x 1 b W 5 z M S 5 7 Q 2 9 s d W 1 u O S w 4 f S Z x d W 9 0 O y w m c X V v d D t T Z W N 0 a W 9 u M S 9 h b m R l e C 9 B d X R v U m V t b 3 Z l Z E N v b H V t b n M x L n t D b 2 x 1 b W 4 x M C w 5 f S Z x d W 9 0 O y w m c X V v d D t T Z W N 0 a W 9 u M S 9 h b m R l e C 9 B d X R v U m V t b 3 Z l Z E N v b H V t b n M x L n t D b 2 x 1 b W 4 x M S w x M H 0 m c X V v d D s s J n F 1 b 3 Q 7 U 2 V j d G l v b j E v Y W 5 k Z X g v Q X V 0 b 1 J l b W 9 2 Z W R D b 2 x 1 b W 5 z M S 5 7 Q 2 9 s d W 1 u M T I s M T F 9 J n F 1 b 3 Q 7 L C Z x d W 9 0 O 1 N l Y 3 R p b 2 4 x L 2 F u Z G V 4 L 0 F 1 d G 9 S Z W 1 v d m V k Q 2 9 s d W 1 u c z E u e 0 N v b H V t b j E z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5 k Z X g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9 2 a W N r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N U M D k 6 N T I 6 M D g u O T g z N z U y N V o i I C 8 + P E V u d H J 5 I F R 5 c G U 9 I k Z p b G x D b 2 x 1 b W 5 U e X B l c y I g V m F s d W U 9 I n N B d 1 l H Q m d N R 0 F 3 W U d C Z 1 l H Q m d Z R 0 J n W U d C Z 1 l H Q m d Z R 0 J n W U d C Z 1 l H Q m d N R 0 J n T U c i I C 8 + P E V u d H J 5 I F R 5 c G U 9 I k Z p b G x D b 2 x 1 b W 5 O Y W 1 l c y I g V m F s d W U 9 I n N b J n F 1 b 3 Q 7 U H J v Z H V j d C B J R C Z x d W 9 0 O y w m c X V v d D t Q c m 9 k d W N 0 I G N v Z G V z J n F 1 b 3 Q 7 L C Z x d W 9 0 O 1 R h e G N v Z G U m c X V v d D s s J n F 1 b 3 Q 7 Q 2 9 k Z S B k a X N w b G F 5 Z W Q g a W 4 g c H J v Z H V j d C B 0 Y W I m c X V v d D s s J n F 1 b 3 Q 7 U H J v Z H V j Z X I g S U Q m c X V v d D s s J n F 1 b 3 Q 7 U H J v Z H V j Z X I g b m F t Z S Z x d W 9 0 O y w m c X V v d D t D Y X R l Z 2 9 y e S B J R C Z x d W 9 0 O y w m c X V v d D t D Y X R l Z 2 9 y e S B u Y W 1 l J n F 1 b 3 Q 7 L C Z x d W 9 0 O 0 N 1 c n J l b m N 5 J n F 1 b 3 Q 7 L C Z x d W 9 0 O 1 B y a W N l J n F 1 b 3 Q 7 L C Z x d W 9 0 O 1 B y b 2 R 1 Y 3 Q g b m F t Z S Z x d W 9 0 O y w m c X V v d D t Q c m 9 k d W N 0 I G R l c 2 N y a X B 0 a W 9 u J n F 1 b 3 Q 7 L C Z x d W 9 0 O 1 B y b 2 1 v d G l v b i Z x d W 9 0 O y w m c X V v d D t E a X N j b 3 V u d C Z x d W 9 0 O y w m c X V v d D t E a X N 0 a W 5 n d W l z a G V k J n F 1 b 3 Q 7 L C Z x d W 9 0 O 1 N w Z W N p Y W w m c X V v d D s s J n F 1 b 3 Q 7 U G F y Y W 1 l d G V y c y Z x d W 9 0 O y w m c X V v d D t Q Y X J h b W V 0 Z X I g S U Q m c X V v d D s s J n F 1 b 3 Q 7 U G F y Y W 1 l d G V y I G 5 h b W U m c X V v d D s s J n F 1 b 3 Q 7 U G F y Y W 1 l d G V y I H B y a W 9 y a X R 5 J n F 1 b 3 Q 7 L C Z x d W 9 0 O 1 B h c m F t Z X R l c i B 0 e X B l J n F 1 b 3 Q 7 L C Z x d W 9 0 O 1 B h c m F t Z X R l c i B k a X N 0 a W 5 j d G l v b i Z x d W 9 0 O y w m c X V v d D t Q Y X J h b W V 0 Z X I g Z 3 J v d X A g Z G l z d G l u Y 3 R p b 2 4 m c X V v d D s s J n F 1 b 3 Q 7 U G F y Y W 1 l d G V y I H B y b 2 p l Y 3 R v c i B o a W R l J n F 1 b 3 Q 7 L C Z x d W 9 0 O 1 B h c m F t Z X R l c i B h d W N 0 a W 9 u I H R l b X B s Y X R l I G h p Z G U m c X V v d D s s J n F 1 b 3 Q 7 U G F y Y W 1 l d G V y I H Z h b H V l I E l E J n F 1 b 3 Q 7 L C Z x d W 9 0 O 1 B h c m F t Z X R l c i B 2 Y W x 1 Z S B u Y W 1 l J n F 1 b 3 Q 7 L C Z x d W 9 0 O 1 B h c m F t Z X R l c i B 2 Y W x 1 Z S B w c m l v c m l 0 e S Z x d W 9 0 O y w m c X V v d D t V U k w m c X V v d D s s J n F 1 b 3 Q 7 S W 1 h Z 2 V z J n F 1 b 3 Q 7 L C Z x d W 9 0 O 0 N v Z G U g c H J v Z H V j Z X I m c X V v d D s s J n F 1 b 3 Q 7 R 3 J v d X A g S U Q m c X V v d D s s J n F 1 b 3 Q 7 R 3 J v d X A g b m F t Z S Z x d W 9 0 O y w m c X V v d D t O Y W 1 l I G l u I G d y b 3 V w J n F 1 b 3 Q 7 L C Z x d W 9 0 O 0 N h d G V n b 3 J 5 I E l k b 1 N l b G w g S U Q m c X V v d D s s J n F 1 b 3 Q 7 Q 2 F 0 Z W d v c n k g S W R v U 2 V s b C B u Y W 1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v d m l j a 3 k v Q X V 0 b 1 J l b W 9 2 Z W R D b 2 x 1 b W 5 z M S 5 7 U H J v Z H V j d C B J R C w w f S Z x d W 9 0 O y w m c X V v d D t T Z W N 0 a W 9 u M S 9 y b 3 Z p Y 2 t 5 L 0 F 1 d G 9 S Z W 1 v d m V k Q 2 9 s d W 1 u c z E u e 1 B y b 2 R 1 Y 3 Q g Y 2 9 k Z X M s M X 0 m c X V v d D s s J n F 1 b 3 Q 7 U 2 V j d G l v b j E v c m 9 2 a W N r e S 9 B d X R v U m V t b 3 Z l Z E N v b H V t b n M x L n t U Y X h j b 2 R l L D J 9 J n F 1 b 3 Q 7 L C Z x d W 9 0 O 1 N l Y 3 R p b 2 4 x L 3 J v d m l j a 3 k v Q X V 0 b 1 J l b W 9 2 Z W R D b 2 x 1 b W 5 z M S 5 7 Q 2 9 k Z S B k a X N w b G F 5 Z W Q g a W 4 g c H J v Z H V j d C B 0 Y W I s M 3 0 m c X V v d D s s J n F 1 b 3 Q 7 U 2 V j d G l v b j E v c m 9 2 a W N r e S 9 B d X R v U m V t b 3 Z l Z E N v b H V t b n M x L n t Q c m 9 k d W N l c i B J R C w 0 f S Z x d W 9 0 O y w m c X V v d D t T Z W N 0 a W 9 u M S 9 y b 3 Z p Y 2 t 5 L 0 F 1 d G 9 S Z W 1 v d m V k Q 2 9 s d W 1 u c z E u e 1 B y b 2 R 1 Y 2 V y I G 5 h b W U s N X 0 m c X V v d D s s J n F 1 b 3 Q 7 U 2 V j d G l v b j E v c m 9 2 a W N r e S 9 B d X R v U m V t b 3 Z l Z E N v b H V t b n M x L n t D Y X R l Z 2 9 y e S B J R C w 2 f S Z x d W 9 0 O y w m c X V v d D t T Z W N 0 a W 9 u M S 9 y b 3 Z p Y 2 t 5 L 0 F 1 d G 9 S Z W 1 v d m V k Q 2 9 s d W 1 u c z E u e 0 N h d G V n b 3 J 5 I G 5 h b W U s N 3 0 m c X V v d D s s J n F 1 b 3 Q 7 U 2 V j d G l v b j E v c m 9 2 a W N r e S 9 B d X R v U m V t b 3 Z l Z E N v b H V t b n M x L n t D d X J y Z W 5 j e S w 4 f S Z x d W 9 0 O y w m c X V v d D t T Z W N 0 a W 9 u M S 9 y b 3 Z p Y 2 t 5 L 0 F 1 d G 9 S Z W 1 v d m V k Q 2 9 s d W 1 u c z E u e 1 B y a W N l L D l 9 J n F 1 b 3 Q 7 L C Z x d W 9 0 O 1 N l Y 3 R p b 2 4 x L 3 J v d m l j a 3 k v Q X V 0 b 1 J l b W 9 2 Z W R D b 2 x 1 b W 5 z M S 5 7 U H J v Z H V j d C B u Y W 1 l L D E w f S Z x d W 9 0 O y w m c X V v d D t T Z W N 0 a W 9 u M S 9 y b 3 Z p Y 2 t 5 L 0 F 1 d G 9 S Z W 1 v d m V k Q 2 9 s d W 1 u c z E u e 1 B y b 2 R 1 Y 3 Q g Z G V z Y 3 J p c H R p b 2 4 s M T F 9 J n F 1 b 3 Q 7 L C Z x d W 9 0 O 1 N l Y 3 R p b 2 4 x L 3 J v d m l j a 3 k v Q X V 0 b 1 J l b W 9 2 Z W R D b 2 x 1 b W 5 z M S 5 7 U H J v b W 9 0 a W 9 u L D E y f S Z x d W 9 0 O y w m c X V v d D t T Z W N 0 a W 9 u M S 9 y b 3 Z p Y 2 t 5 L 0 F 1 d G 9 S Z W 1 v d m V k Q 2 9 s d W 1 u c z E u e 0 R p c 2 N v d W 5 0 L D E z f S Z x d W 9 0 O y w m c X V v d D t T Z W N 0 a W 9 u M S 9 y b 3 Z p Y 2 t 5 L 0 F 1 d G 9 S Z W 1 v d m V k Q 2 9 s d W 1 u c z E u e 0 R p c 3 R p b m d 1 a X N o Z W Q s M T R 9 J n F 1 b 3 Q 7 L C Z x d W 9 0 O 1 N l Y 3 R p b 2 4 x L 3 J v d m l j a 3 k v Q X V 0 b 1 J l b W 9 2 Z W R D b 2 x 1 b W 5 z M S 5 7 U 3 B l Y 2 l h b C w x N X 0 m c X V v d D s s J n F 1 b 3 Q 7 U 2 V j d G l v b j E v c m 9 2 a W N r e S 9 B d X R v U m V t b 3 Z l Z E N v b H V t b n M x L n t Q Y X J h b W V 0 Z X J z L D E 2 f S Z x d W 9 0 O y w m c X V v d D t T Z W N 0 a W 9 u M S 9 y b 3 Z p Y 2 t 5 L 0 F 1 d G 9 S Z W 1 v d m V k Q 2 9 s d W 1 u c z E u e 1 B h c m F t Z X R l c i B J R C w x N 3 0 m c X V v d D s s J n F 1 b 3 Q 7 U 2 V j d G l v b j E v c m 9 2 a W N r e S 9 B d X R v U m V t b 3 Z l Z E N v b H V t b n M x L n t Q Y X J h b W V 0 Z X I g b m F t Z S w x O H 0 m c X V v d D s s J n F 1 b 3 Q 7 U 2 V j d G l v b j E v c m 9 2 a W N r e S 9 B d X R v U m V t b 3 Z l Z E N v b H V t b n M x L n t Q Y X J h b W V 0 Z X I g c H J p b 3 J p d H k s M T l 9 J n F 1 b 3 Q 7 L C Z x d W 9 0 O 1 N l Y 3 R p b 2 4 x L 3 J v d m l j a 3 k v Q X V 0 b 1 J l b W 9 2 Z W R D b 2 x 1 b W 5 z M S 5 7 U G F y Y W 1 l d G V y I H R 5 c G U s M j B 9 J n F 1 b 3 Q 7 L C Z x d W 9 0 O 1 N l Y 3 R p b 2 4 x L 3 J v d m l j a 3 k v Q X V 0 b 1 J l b W 9 2 Z W R D b 2 x 1 b W 5 z M S 5 7 U G F y Y W 1 l d G V y I G R p c 3 R p b m N 0 a W 9 u L D I x f S Z x d W 9 0 O y w m c X V v d D t T Z W N 0 a W 9 u M S 9 y b 3 Z p Y 2 t 5 L 0 F 1 d G 9 S Z W 1 v d m V k Q 2 9 s d W 1 u c z E u e 1 B h c m F t Z X R l c i B n c m 9 1 c C B k a X N 0 a W 5 j d G l v b i w y M n 0 m c X V v d D s s J n F 1 b 3 Q 7 U 2 V j d G l v b j E v c m 9 2 a W N r e S 9 B d X R v U m V t b 3 Z l Z E N v b H V t b n M x L n t Q Y X J h b W V 0 Z X I g c H J v a m V j d G 9 y I G h p Z G U s M j N 9 J n F 1 b 3 Q 7 L C Z x d W 9 0 O 1 N l Y 3 R p b 2 4 x L 3 J v d m l j a 3 k v Q X V 0 b 1 J l b W 9 2 Z W R D b 2 x 1 b W 5 z M S 5 7 U G F y Y W 1 l d G V y I G F 1 Y 3 R p b 2 4 g d G V t c G x h d G U g a G l k Z S w y N H 0 m c X V v d D s s J n F 1 b 3 Q 7 U 2 V j d G l v b j E v c m 9 2 a W N r e S 9 B d X R v U m V t b 3 Z l Z E N v b H V t b n M x L n t Q Y X J h b W V 0 Z X I g d m F s d W U g S U Q s M j V 9 J n F 1 b 3 Q 7 L C Z x d W 9 0 O 1 N l Y 3 R p b 2 4 x L 3 J v d m l j a 3 k v Q X V 0 b 1 J l b W 9 2 Z W R D b 2 x 1 b W 5 z M S 5 7 U G F y Y W 1 l d G V y I H Z h b H V l I G 5 h b W U s M j Z 9 J n F 1 b 3 Q 7 L C Z x d W 9 0 O 1 N l Y 3 R p b 2 4 x L 3 J v d m l j a 3 k v Q X V 0 b 1 J l b W 9 2 Z W R D b 2 x 1 b W 5 z M S 5 7 U G F y Y W 1 l d G V y I H Z h b H V l I H B y a W 9 y a X R 5 L D I 3 f S Z x d W 9 0 O y w m c X V v d D t T Z W N 0 a W 9 u M S 9 y b 3 Z p Y 2 t 5 L 0 F 1 d G 9 S Z W 1 v d m V k Q 2 9 s d W 1 u c z E u e 1 V S T C w y O H 0 m c X V v d D s s J n F 1 b 3 Q 7 U 2 V j d G l v b j E v c m 9 2 a W N r e S 9 B d X R v U m V t b 3 Z l Z E N v b H V t b n M x L n t J b W F n Z X M s M j l 9 J n F 1 b 3 Q 7 L C Z x d W 9 0 O 1 N l Y 3 R p b 2 4 x L 3 J v d m l j a 3 k v Q X V 0 b 1 J l b W 9 2 Z W R D b 2 x 1 b W 5 z M S 5 7 Q 2 9 k Z S B w c m 9 k d W N l c i w z M H 0 m c X V v d D s s J n F 1 b 3 Q 7 U 2 V j d G l v b j E v c m 9 2 a W N r e S 9 B d X R v U m V t b 3 Z l Z E N v b H V t b n M x L n t H c m 9 1 c C B J R C w z M X 0 m c X V v d D s s J n F 1 b 3 Q 7 U 2 V j d G l v b j E v c m 9 2 a W N r e S 9 B d X R v U m V t b 3 Z l Z E N v b H V t b n M x L n t H c m 9 1 c C B u Y W 1 l L D M y f S Z x d W 9 0 O y w m c X V v d D t T Z W N 0 a W 9 u M S 9 y b 3 Z p Y 2 t 5 L 0 F 1 d G 9 S Z W 1 v d m V k Q 2 9 s d W 1 u c z E u e 0 5 h b W U g a W 4 g Z 3 J v d X A s M z N 9 J n F 1 b 3 Q 7 L C Z x d W 9 0 O 1 N l Y 3 R p b 2 4 x L 3 J v d m l j a 3 k v Q X V 0 b 1 J l b W 9 2 Z W R D b 2 x 1 b W 5 z M S 5 7 Q 2 F 0 Z W d v c n k g S W R v U 2 V s b C B J R C w z N H 0 m c X V v d D s s J n F 1 b 3 Q 7 U 2 V j d G l v b j E v c m 9 2 a W N r e S 9 B d X R v U m V t b 3 Z l Z E N v b H V t b n M x L n t D Y X R l Z 2 9 y e S B J Z G 9 T Z W x s I G 5 h b W U s M z V 9 J n F 1 b 3 Q 7 X S w m c X V v d D t D b 2 x 1 b W 5 D b 3 V u d C Z x d W 9 0 O z o z N i w m c X V v d D t L Z X l D b 2 x 1 b W 5 O Y W 1 l c y Z x d W 9 0 O z p b X S w m c X V v d D t D b 2 x 1 b W 5 J Z G V u d G l 0 a W V z J n F 1 b 3 Q 7 O l s m c X V v d D t T Z W N 0 a W 9 u M S 9 y b 3 Z p Y 2 t 5 L 0 F 1 d G 9 S Z W 1 v d m V k Q 2 9 s d W 1 u c z E u e 1 B y b 2 R 1 Y 3 Q g S U Q s M H 0 m c X V v d D s s J n F 1 b 3 Q 7 U 2 V j d G l v b j E v c m 9 2 a W N r e S 9 B d X R v U m V t b 3 Z l Z E N v b H V t b n M x L n t Q c m 9 k d W N 0 I G N v Z G V z L D F 9 J n F 1 b 3 Q 7 L C Z x d W 9 0 O 1 N l Y 3 R p b 2 4 x L 3 J v d m l j a 3 k v Q X V 0 b 1 J l b W 9 2 Z W R D b 2 x 1 b W 5 z M S 5 7 V G F 4 Y 2 9 k Z S w y f S Z x d W 9 0 O y w m c X V v d D t T Z W N 0 a W 9 u M S 9 y b 3 Z p Y 2 t 5 L 0 F 1 d G 9 S Z W 1 v d m V k Q 2 9 s d W 1 u c z E u e 0 N v Z G U g Z G l z c G x h e W V k I G l u I H B y b 2 R 1 Y 3 Q g d G F i L D N 9 J n F 1 b 3 Q 7 L C Z x d W 9 0 O 1 N l Y 3 R p b 2 4 x L 3 J v d m l j a 3 k v Q X V 0 b 1 J l b W 9 2 Z W R D b 2 x 1 b W 5 z M S 5 7 U H J v Z H V j Z X I g S U Q s N H 0 m c X V v d D s s J n F 1 b 3 Q 7 U 2 V j d G l v b j E v c m 9 2 a W N r e S 9 B d X R v U m V t b 3 Z l Z E N v b H V t b n M x L n t Q c m 9 k d W N l c i B u Y W 1 l L D V 9 J n F 1 b 3 Q 7 L C Z x d W 9 0 O 1 N l Y 3 R p b 2 4 x L 3 J v d m l j a 3 k v Q X V 0 b 1 J l b W 9 2 Z W R D b 2 x 1 b W 5 z M S 5 7 Q 2 F 0 Z W d v c n k g S U Q s N n 0 m c X V v d D s s J n F 1 b 3 Q 7 U 2 V j d G l v b j E v c m 9 2 a W N r e S 9 B d X R v U m V t b 3 Z l Z E N v b H V t b n M x L n t D Y X R l Z 2 9 y e S B u Y W 1 l L D d 9 J n F 1 b 3 Q 7 L C Z x d W 9 0 O 1 N l Y 3 R p b 2 4 x L 3 J v d m l j a 3 k v Q X V 0 b 1 J l b W 9 2 Z W R D b 2 x 1 b W 5 z M S 5 7 Q 3 V y c m V u Y 3 k s O H 0 m c X V v d D s s J n F 1 b 3 Q 7 U 2 V j d G l v b j E v c m 9 2 a W N r e S 9 B d X R v U m V t b 3 Z l Z E N v b H V t b n M x L n t Q c m l j Z S w 5 f S Z x d W 9 0 O y w m c X V v d D t T Z W N 0 a W 9 u M S 9 y b 3 Z p Y 2 t 5 L 0 F 1 d G 9 S Z W 1 v d m V k Q 2 9 s d W 1 u c z E u e 1 B y b 2 R 1 Y 3 Q g b m F t Z S w x M H 0 m c X V v d D s s J n F 1 b 3 Q 7 U 2 V j d G l v b j E v c m 9 2 a W N r e S 9 B d X R v U m V t b 3 Z l Z E N v b H V t b n M x L n t Q c m 9 k d W N 0 I G R l c 2 N y a X B 0 a W 9 u L D E x f S Z x d W 9 0 O y w m c X V v d D t T Z W N 0 a W 9 u M S 9 y b 3 Z p Y 2 t 5 L 0 F 1 d G 9 S Z W 1 v d m V k Q 2 9 s d W 1 u c z E u e 1 B y b 2 1 v d G l v b i w x M n 0 m c X V v d D s s J n F 1 b 3 Q 7 U 2 V j d G l v b j E v c m 9 2 a W N r e S 9 B d X R v U m V t b 3 Z l Z E N v b H V t b n M x L n t E a X N j b 3 V u d C w x M 3 0 m c X V v d D s s J n F 1 b 3 Q 7 U 2 V j d G l v b j E v c m 9 2 a W N r e S 9 B d X R v U m V t b 3 Z l Z E N v b H V t b n M x L n t E a X N 0 a W 5 n d W l z a G V k L D E 0 f S Z x d W 9 0 O y w m c X V v d D t T Z W N 0 a W 9 u M S 9 y b 3 Z p Y 2 t 5 L 0 F 1 d G 9 S Z W 1 v d m V k Q 2 9 s d W 1 u c z E u e 1 N w Z W N p Y W w s M T V 9 J n F 1 b 3 Q 7 L C Z x d W 9 0 O 1 N l Y 3 R p b 2 4 x L 3 J v d m l j a 3 k v Q X V 0 b 1 J l b W 9 2 Z W R D b 2 x 1 b W 5 z M S 5 7 U G F y Y W 1 l d G V y c y w x N n 0 m c X V v d D s s J n F 1 b 3 Q 7 U 2 V j d G l v b j E v c m 9 2 a W N r e S 9 B d X R v U m V t b 3 Z l Z E N v b H V t b n M x L n t Q Y X J h b W V 0 Z X I g S U Q s M T d 9 J n F 1 b 3 Q 7 L C Z x d W 9 0 O 1 N l Y 3 R p b 2 4 x L 3 J v d m l j a 3 k v Q X V 0 b 1 J l b W 9 2 Z W R D b 2 x 1 b W 5 z M S 5 7 U G F y Y W 1 l d G V y I G 5 h b W U s M T h 9 J n F 1 b 3 Q 7 L C Z x d W 9 0 O 1 N l Y 3 R p b 2 4 x L 3 J v d m l j a 3 k v Q X V 0 b 1 J l b W 9 2 Z W R D b 2 x 1 b W 5 z M S 5 7 U G F y Y W 1 l d G V y I H B y a W 9 y a X R 5 L D E 5 f S Z x d W 9 0 O y w m c X V v d D t T Z W N 0 a W 9 u M S 9 y b 3 Z p Y 2 t 5 L 0 F 1 d G 9 S Z W 1 v d m V k Q 2 9 s d W 1 u c z E u e 1 B h c m F t Z X R l c i B 0 e X B l L D I w f S Z x d W 9 0 O y w m c X V v d D t T Z W N 0 a W 9 u M S 9 y b 3 Z p Y 2 t 5 L 0 F 1 d G 9 S Z W 1 v d m V k Q 2 9 s d W 1 u c z E u e 1 B h c m F t Z X R l c i B k a X N 0 a W 5 j d G l v b i w y M X 0 m c X V v d D s s J n F 1 b 3 Q 7 U 2 V j d G l v b j E v c m 9 2 a W N r e S 9 B d X R v U m V t b 3 Z l Z E N v b H V t b n M x L n t Q Y X J h b W V 0 Z X I g Z 3 J v d X A g Z G l z d G l u Y 3 R p b 2 4 s M j J 9 J n F 1 b 3 Q 7 L C Z x d W 9 0 O 1 N l Y 3 R p b 2 4 x L 3 J v d m l j a 3 k v Q X V 0 b 1 J l b W 9 2 Z W R D b 2 x 1 b W 5 z M S 5 7 U G F y Y W 1 l d G V y I H B y b 2 p l Y 3 R v c i B o a W R l L D I z f S Z x d W 9 0 O y w m c X V v d D t T Z W N 0 a W 9 u M S 9 y b 3 Z p Y 2 t 5 L 0 F 1 d G 9 S Z W 1 v d m V k Q 2 9 s d W 1 u c z E u e 1 B h c m F t Z X R l c i B h d W N 0 a W 9 u I H R l b X B s Y X R l I G h p Z G U s M j R 9 J n F 1 b 3 Q 7 L C Z x d W 9 0 O 1 N l Y 3 R p b 2 4 x L 3 J v d m l j a 3 k v Q X V 0 b 1 J l b W 9 2 Z W R D b 2 x 1 b W 5 z M S 5 7 U G F y Y W 1 l d G V y I H Z h b H V l I E l E L D I 1 f S Z x d W 9 0 O y w m c X V v d D t T Z W N 0 a W 9 u M S 9 y b 3 Z p Y 2 t 5 L 0 F 1 d G 9 S Z W 1 v d m V k Q 2 9 s d W 1 u c z E u e 1 B h c m F t Z X R l c i B 2 Y W x 1 Z S B u Y W 1 l L D I 2 f S Z x d W 9 0 O y w m c X V v d D t T Z W N 0 a W 9 u M S 9 y b 3 Z p Y 2 t 5 L 0 F 1 d G 9 S Z W 1 v d m V k Q 2 9 s d W 1 u c z E u e 1 B h c m F t Z X R l c i B 2 Y W x 1 Z S B w c m l v c m l 0 e S w y N 3 0 m c X V v d D s s J n F 1 b 3 Q 7 U 2 V j d G l v b j E v c m 9 2 a W N r e S 9 B d X R v U m V t b 3 Z l Z E N v b H V t b n M x L n t V U k w s M j h 9 J n F 1 b 3 Q 7 L C Z x d W 9 0 O 1 N l Y 3 R p b 2 4 x L 3 J v d m l j a 3 k v Q X V 0 b 1 J l b W 9 2 Z W R D b 2 x 1 b W 5 z M S 5 7 S W 1 h Z 2 V z L D I 5 f S Z x d W 9 0 O y w m c X V v d D t T Z W N 0 a W 9 u M S 9 y b 3 Z p Y 2 t 5 L 0 F 1 d G 9 S Z W 1 v d m V k Q 2 9 s d W 1 u c z E u e 0 N v Z G U g c H J v Z H V j Z X I s M z B 9 J n F 1 b 3 Q 7 L C Z x d W 9 0 O 1 N l Y 3 R p b 2 4 x L 3 J v d m l j a 3 k v Q X V 0 b 1 J l b W 9 2 Z W R D b 2 x 1 b W 5 z M S 5 7 R 3 J v d X A g S U Q s M z F 9 J n F 1 b 3 Q 7 L C Z x d W 9 0 O 1 N l Y 3 R p b 2 4 x L 3 J v d m l j a 3 k v Q X V 0 b 1 J l b W 9 2 Z W R D b 2 x 1 b W 5 z M S 5 7 R 3 J v d X A g b m F t Z S w z M n 0 m c X V v d D s s J n F 1 b 3 Q 7 U 2 V j d G l v b j E v c m 9 2 a W N r e S 9 B d X R v U m V t b 3 Z l Z E N v b H V t b n M x L n t O Y W 1 l I G l u I G d y b 3 V w L D M z f S Z x d W 9 0 O y w m c X V v d D t T Z W N 0 a W 9 u M S 9 y b 3 Z p Y 2 t 5 L 0 F 1 d G 9 S Z W 1 v d m V k Q 2 9 s d W 1 u c z E u e 0 N h d G V n b 3 J 5 I E l k b 1 N l b G w g S U Q s M z R 9 J n F 1 b 3 Q 7 L C Z x d W 9 0 O 1 N l Y 3 R p b 2 4 x L 3 J v d m l j a 3 k v Q X V 0 b 1 J l b W 9 2 Z W R D b 2 x 1 b W 5 z M S 5 7 Q 2 F 0 Z W d v c n k g S W R v U 2 V s b C B u Y W 1 l L D M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9 2 a W N r e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3 Z p Y 2 t 5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9 2 a W N r e S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4 i f 1 L 2 d H 0 K s Y o Y s z i z j t Q A A A A A C A A A A A A A Q Z g A A A A E A A C A A A A C 7 / Y v I K d v l y B a X 1 G p M E g 2 u v m x d s y H v v k g i V U T W o z C l v A A A A A A O g A A A A A I A A C A A A A C c 0 8 / W m c V N c J L L 7 + r i w X R h e c q r E v h j V f C W A a I g y 4 d c 2 F A A A A D q Q S V C O d 2 B m 6 P a O 6 R 3 G s v O 5 i 3 d G J w 0 d F I H M l G z F l p Q 7 8 n Y U Q f R v T / T w k Q 4 2 e M A a Q W g w S s q G n n W y H M w o D 8 5 k s N O S W w t 1 l C 8 C D 1 y V 6 h + P Q G Q l k A A A A C p y 9 / c t E O N w T e B B P 5 K E J Z w j q L 3 f Z 5 U h Z c r L R C A I j X d u 7 9 E W F 8 P B Q 3 j X 9 H j b + r b u a 9 n F W m k 2 7 N G r E B a q m h W 9 l 0 1 < / D a t a M a s h u p > 
</file>

<file path=customXml/itemProps1.xml><?xml version="1.0" encoding="utf-8"?>
<ds:datastoreItem xmlns:ds="http://schemas.openxmlformats.org/officeDocument/2006/customXml" ds:itemID="{AAFE732A-2D52-475C-8118-1A1351FEFB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Czechy - nowe</vt:lpstr>
      <vt:lpstr>CZECHY</vt:lpstr>
      <vt:lpstr>Słowacja - nowe</vt:lpstr>
      <vt:lpstr>SŁOWACJA</vt:lpstr>
      <vt:lpstr>Słowenia - nowe</vt:lpstr>
      <vt:lpstr>SŁOWENIA</vt:lpstr>
      <vt:lpstr>Węgry - nowe</vt:lpstr>
      <vt:lpstr>WĘGRY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Dobrogoszcz</dc:creator>
  <cp:lastModifiedBy>Filip Shumee</cp:lastModifiedBy>
  <dcterms:created xsi:type="dcterms:W3CDTF">2022-09-26T10:49:19Z</dcterms:created>
  <dcterms:modified xsi:type="dcterms:W3CDTF">2023-07-05T13:06:35Z</dcterms:modified>
</cp:coreProperties>
</file>